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69.xml" ContentType="application/vnd.openxmlformats-officedocument.drawing+xml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Default Extension="emf" ContentType="image/x-emf"/>
  <Override PartName="/xl/drawings/drawing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drawings/drawing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ml.chartshapes+xml"/>
  <Override PartName="/xl/drawings/drawing70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userName=" " reservationPassword="DCBA"/>
  <workbookPr defaultThemeVersion="124226"/>
  <bookViews>
    <workbookView xWindow="0" yWindow="105" windowWidth="11385" windowHeight="6735"/>
  </bookViews>
  <sheets>
    <sheet name="ÍNDICE" sheetId="1" r:id="rId1"/>
    <sheet name="1.1." sheetId="4" r:id="rId2"/>
    <sheet name="1.2." sheetId="6" r:id="rId3"/>
    <sheet name="1.3." sheetId="7" r:id="rId4"/>
    <sheet name="1.4." sheetId="5" r:id="rId5"/>
    <sheet name="1.5." sheetId="2" r:id="rId6"/>
    <sheet name="1.6." sheetId="8" r:id="rId7"/>
    <sheet name="1.7." sheetId="9" r:id="rId8"/>
    <sheet name="1.8." sheetId="10" r:id="rId9"/>
    <sheet name="2.1." sheetId="11" r:id="rId10"/>
    <sheet name="2.2." sheetId="12" r:id="rId11"/>
    <sheet name="2.3." sheetId="35" r:id="rId12"/>
    <sheet name="2.4." sheetId="34" r:id="rId13"/>
    <sheet name="2.5." sheetId="33" r:id="rId14"/>
    <sheet name="2.6." sheetId="32" r:id="rId15"/>
    <sheet name="2.7." sheetId="31" r:id="rId16"/>
    <sheet name="3.1." sheetId="30" r:id="rId17"/>
    <sheet name="3.2." sheetId="29" r:id="rId18"/>
    <sheet name="3.3." sheetId="28" r:id="rId19"/>
    <sheet name="3.4." sheetId="27" r:id="rId20"/>
    <sheet name="3.5." sheetId="26" r:id="rId21"/>
    <sheet name="3.6." sheetId="25" r:id="rId22"/>
    <sheet name="3.7." sheetId="24" r:id="rId23"/>
    <sheet name="3.8." sheetId="23" r:id="rId24"/>
    <sheet name="3.9." sheetId="22" r:id="rId25"/>
    <sheet name="3.10." sheetId="21" r:id="rId26"/>
    <sheet name="3.11." sheetId="20" r:id="rId27"/>
    <sheet name="3.12." sheetId="19" r:id="rId28"/>
    <sheet name="3.13." sheetId="18" r:id="rId29"/>
    <sheet name="3.14." sheetId="17" r:id="rId30"/>
    <sheet name="3.15." sheetId="16" r:id="rId31"/>
    <sheet name="3.16." sheetId="15" r:id="rId32"/>
    <sheet name="3.17." sheetId="14" r:id="rId33"/>
    <sheet name="3.18." sheetId="13" r:id="rId34"/>
    <sheet name="3.19." sheetId="45" r:id="rId35"/>
    <sheet name="3.20." sheetId="44" r:id="rId36"/>
    <sheet name="3.21." sheetId="43" r:id="rId37"/>
    <sheet name="3.22." sheetId="42" r:id="rId38"/>
    <sheet name="3.23." sheetId="41" r:id="rId39"/>
    <sheet name="3.24." sheetId="40" r:id="rId40"/>
    <sheet name="3.25." sheetId="39" r:id="rId41"/>
    <sheet name="3.26." sheetId="38" r:id="rId42"/>
    <sheet name="3.27." sheetId="37" r:id="rId43"/>
    <sheet name="3.28." sheetId="36" r:id="rId44"/>
    <sheet name="3.29." sheetId="51" r:id="rId45"/>
    <sheet name="3.30." sheetId="50" r:id="rId46"/>
    <sheet name="3.31." sheetId="49" r:id="rId47"/>
    <sheet name="3.32." sheetId="48" r:id="rId48"/>
    <sheet name="3.33." sheetId="47" r:id="rId49"/>
    <sheet name="3.34." sheetId="46" r:id="rId50"/>
    <sheet name="3.35." sheetId="74" r:id="rId51"/>
    <sheet name="4.1." sheetId="73" r:id="rId52"/>
    <sheet name="4.2." sheetId="72" r:id="rId53"/>
    <sheet name="4.3." sheetId="71" r:id="rId54"/>
    <sheet name="4.4." sheetId="70" r:id="rId55"/>
    <sheet name="4.5." sheetId="69" r:id="rId56"/>
    <sheet name="4.6.a." sheetId="68" r:id="rId57"/>
    <sheet name="4.6.b." sheetId="67" r:id="rId58"/>
    <sheet name="4.7." sheetId="66" r:id="rId59"/>
    <sheet name="4.8." sheetId="65" r:id="rId60"/>
    <sheet name="4.9." sheetId="64" r:id="rId61"/>
    <sheet name="4.10." sheetId="63" r:id="rId62"/>
    <sheet name="4.11." sheetId="62" r:id="rId63"/>
    <sheet name="4.12." sheetId="61" r:id="rId64"/>
    <sheet name="4.13." sheetId="60" r:id="rId65"/>
    <sheet name="4.14." sheetId="59" r:id="rId66"/>
    <sheet name="4.15." sheetId="58" r:id="rId67"/>
    <sheet name="4.16." sheetId="57" r:id="rId68"/>
    <sheet name="5.1." sheetId="56" r:id="rId69"/>
    <sheet name="5.2." sheetId="55" r:id="rId70"/>
    <sheet name="5.3." sheetId="54" r:id="rId71"/>
    <sheet name="5.4." sheetId="53" r:id="rId72"/>
    <sheet name="5.5." sheetId="52" r:id="rId73"/>
    <sheet name="5.6." sheetId="92" r:id="rId74"/>
    <sheet name="5.7." sheetId="91" r:id="rId75"/>
    <sheet name="5.8." sheetId="90" r:id="rId76"/>
    <sheet name="5.9." sheetId="89" r:id="rId77"/>
    <sheet name="5.10." sheetId="88" r:id="rId78"/>
    <sheet name="5.11." sheetId="87" r:id="rId79"/>
    <sheet name="5.12." sheetId="86" r:id="rId80"/>
    <sheet name="5.13." sheetId="85" r:id="rId81"/>
    <sheet name="5.14." sheetId="84" r:id="rId82"/>
    <sheet name="5.15." sheetId="83" r:id="rId83"/>
    <sheet name="5.16." sheetId="82" r:id="rId84"/>
    <sheet name="5.17." sheetId="81" r:id="rId85"/>
    <sheet name="5.18." sheetId="80" r:id="rId86"/>
    <sheet name="5.19." sheetId="79" r:id="rId87"/>
    <sheet name="5.20." sheetId="78" r:id="rId88"/>
    <sheet name="5.21." sheetId="77" r:id="rId89"/>
    <sheet name="5.22." sheetId="76" r:id="rId90"/>
    <sheet name="5.23." sheetId="75" r:id="rId91"/>
    <sheet name="5.24." sheetId="99" r:id="rId92"/>
    <sheet name="5.25." sheetId="98" r:id="rId93"/>
    <sheet name="5.26." sheetId="97" r:id="rId94"/>
    <sheet name="6.1." sheetId="96" r:id="rId95"/>
    <sheet name="II.1.1." sheetId="95" r:id="rId96"/>
    <sheet name="II.1.2." sheetId="94" r:id="rId97"/>
    <sheet name="II.1.3." sheetId="93" r:id="rId98"/>
    <sheet name="II.1.4" sheetId="3" r:id="rId99"/>
  </sheets>
  <externalReferences>
    <externalReference r:id="rId100"/>
    <externalReference r:id="rId101"/>
  </externalReferences>
  <definedNames>
    <definedName name="OLE_LINK1" localSheetId="0">ÍNDICE!$C$64</definedName>
    <definedName name="OLE_LINK3" localSheetId="0">ÍNDICE!$C$31</definedName>
  </definedNames>
  <calcPr calcId="125725"/>
</workbook>
</file>

<file path=xl/calcChain.xml><?xml version="1.0" encoding="utf-8"?>
<calcChain xmlns="http://schemas.openxmlformats.org/spreadsheetml/2006/main">
  <c r="P7" i="87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N7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L7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J7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H7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G16" i="61" l="1"/>
  <c r="G12"/>
  <c r="G8"/>
  <c r="R11" i="69"/>
  <c r="Q11"/>
  <c r="P11"/>
  <c r="O11"/>
  <c r="N11"/>
  <c r="M11"/>
  <c r="L11"/>
  <c r="K11"/>
  <c r="J11"/>
  <c r="I11"/>
  <c r="H11"/>
  <c r="G11"/>
  <c r="F11"/>
  <c r="E11"/>
  <c r="R7"/>
  <c r="Q7"/>
  <c r="P7"/>
  <c r="O7"/>
  <c r="N7"/>
  <c r="M7"/>
  <c r="L7"/>
  <c r="K7"/>
  <c r="J7"/>
  <c r="I7"/>
  <c r="H7"/>
  <c r="G7"/>
  <c r="F7"/>
  <c r="E7"/>
  <c r="F12" i="63"/>
  <c r="D11"/>
  <c r="E26" i="72"/>
  <c r="D26"/>
  <c r="G14" i="38"/>
  <c r="F14"/>
  <c r="E14"/>
  <c r="G12"/>
  <c r="F12"/>
  <c r="E12"/>
  <c r="G10"/>
  <c r="F10"/>
  <c r="E10"/>
  <c r="G8"/>
  <c r="F8"/>
  <c r="E8"/>
  <c r="G14" i="39"/>
  <c r="F14"/>
  <c r="E14"/>
  <c r="G12"/>
  <c r="F12"/>
  <c r="E12"/>
  <c r="G10"/>
  <c r="F10"/>
  <c r="E10"/>
  <c r="G8"/>
  <c r="F8"/>
  <c r="E8"/>
  <c r="D8" i="25"/>
  <c r="F21" i="26"/>
  <c r="F20"/>
  <c r="F19"/>
  <c r="F18"/>
  <c r="F17"/>
  <c r="F16"/>
  <c r="F15"/>
  <c r="F14"/>
  <c r="F13"/>
  <c r="F12"/>
  <c r="F11"/>
  <c r="F10"/>
  <c r="F9"/>
  <c r="F8"/>
  <c r="K8" i="31" l="1"/>
  <c r="I8"/>
  <c r="H8"/>
  <c r="G8"/>
  <c r="F8"/>
  <c r="E8"/>
  <c r="K7"/>
  <c r="I7"/>
  <c r="H7"/>
  <c r="G7"/>
  <c r="F7"/>
  <c r="E7"/>
  <c r="K6"/>
  <c r="I6"/>
  <c r="H6"/>
  <c r="G6"/>
  <c r="F6"/>
  <c r="E6"/>
  <c r="M21" i="32"/>
  <c r="M20"/>
  <c r="M19"/>
  <c r="M18"/>
  <c r="M17"/>
  <c r="M16"/>
  <c r="M15"/>
  <c r="M14"/>
  <c r="M13"/>
  <c r="M12"/>
  <c r="M11"/>
  <c r="M10"/>
  <c r="M9"/>
  <c r="G15" i="34"/>
  <c r="F15"/>
  <c r="E15"/>
  <c r="D15"/>
  <c r="D10" i="10" l="1"/>
  <c r="R110" i="94" l="1"/>
  <c r="Q110"/>
  <c r="P110"/>
  <c r="N110"/>
  <c r="M110"/>
  <c r="L110"/>
  <c r="J110"/>
  <c r="I110"/>
  <c r="I111" s="1"/>
  <c r="G110"/>
  <c r="G113" s="1"/>
  <c r="G114" s="1"/>
  <c r="F110"/>
  <c r="F113" s="1"/>
  <c r="F114" s="1"/>
  <c r="E110"/>
  <c r="E113" s="1"/>
  <c r="E114" s="1"/>
  <c r="D110"/>
  <c r="D113" s="1"/>
  <c r="D114" s="1"/>
  <c r="R109"/>
  <c r="Q109"/>
  <c r="P109"/>
  <c r="N109"/>
  <c r="M109"/>
  <c r="L109"/>
  <c r="R108"/>
  <c r="R111" s="1"/>
  <c r="Q108"/>
  <c r="Q111" s="1"/>
  <c r="P108"/>
  <c r="P111" s="1"/>
  <c r="N108"/>
  <c r="N111" s="1"/>
  <c r="M108"/>
  <c r="M111" s="1"/>
  <c r="L108"/>
  <c r="L111" s="1"/>
  <c r="J108"/>
  <c r="J111" s="1"/>
  <c r="R107"/>
  <c r="Q107"/>
  <c r="P107"/>
  <c r="N107"/>
  <c r="M107"/>
  <c r="L107"/>
  <c r="J107"/>
  <c r="J113" s="1"/>
  <c r="J114" s="1"/>
  <c r="I107"/>
  <c r="I113" s="1"/>
  <c r="I114" s="1"/>
  <c r="R106"/>
  <c r="R113" s="1"/>
  <c r="R114" s="1"/>
  <c r="Q106"/>
  <c r="Q113" s="1"/>
  <c r="Q114" s="1"/>
  <c r="P106"/>
  <c r="P113" s="1"/>
  <c r="P114" s="1"/>
  <c r="N106"/>
  <c r="N113" s="1"/>
  <c r="N114" s="1"/>
  <c r="M106"/>
  <c r="M113" s="1"/>
  <c r="M114" s="1"/>
  <c r="L106"/>
  <c r="L113" s="1"/>
  <c r="L114" s="1"/>
  <c r="R82"/>
  <c r="Q82"/>
  <c r="P82"/>
  <c r="N82"/>
  <c r="M82"/>
  <c r="L82"/>
  <c r="J82"/>
  <c r="I82"/>
  <c r="G82"/>
  <c r="G85" s="1"/>
  <c r="G86" s="1"/>
  <c r="F82"/>
  <c r="F83" s="1"/>
  <c r="E82"/>
  <c r="E85" s="1"/>
  <c r="E86" s="1"/>
  <c r="D82"/>
  <c r="D85" s="1"/>
  <c r="D86" s="1"/>
  <c r="R81"/>
  <c r="Q81"/>
  <c r="P81"/>
  <c r="N81"/>
  <c r="M81"/>
  <c r="L81"/>
  <c r="J81"/>
  <c r="I81"/>
  <c r="R80"/>
  <c r="R83" s="1"/>
  <c r="Q80"/>
  <c r="Q83" s="1"/>
  <c r="P80"/>
  <c r="P83" s="1"/>
  <c r="N80"/>
  <c r="N83" s="1"/>
  <c r="M80"/>
  <c r="M83" s="1"/>
  <c r="L80"/>
  <c r="L83" s="1"/>
  <c r="J80"/>
  <c r="J83" s="1"/>
  <c r="I80"/>
  <c r="I83" s="1"/>
  <c r="R79"/>
  <c r="Q79"/>
  <c r="P79"/>
  <c r="N79"/>
  <c r="M79"/>
  <c r="L79"/>
  <c r="J79"/>
  <c r="I79"/>
  <c r="R78"/>
  <c r="R85" s="1"/>
  <c r="R86" s="1"/>
  <c r="Q78"/>
  <c r="Q85" s="1"/>
  <c r="Q86" s="1"/>
  <c r="P78"/>
  <c r="P85" s="1"/>
  <c r="P86" s="1"/>
  <c r="N78"/>
  <c r="N85" s="1"/>
  <c r="N86" s="1"/>
  <c r="M78"/>
  <c r="M85" s="1"/>
  <c r="M86" s="1"/>
  <c r="L78"/>
  <c r="L85" s="1"/>
  <c r="L86" s="1"/>
  <c r="J78"/>
  <c r="J85" s="1"/>
  <c r="J86" s="1"/>
  <c r="I78"/>
  <c r="I85" s="1"/>
  <c r="I86" s="1"/>
  <c r="F78"/>
  <c r="F85" s="1"/>
  <c r="F86" s="1"/>
  <c r="R54"/>
  <c r="Q54"/>
  <c r="P54"/>
  <c r="N54"/>
  <c r="M54"/>
  <c r="L54"/>
  <c r="J54"/>
  <c r="I54"/>
  <c r="G54"/>
  <c r="G57" s="1"/>
  <c r="G58" s="1"/>
  <c r="F54"/>
  <c r="F57" s="1"/>
  <c r="F58" s="1"/>
  <c r="E54"/>
  <c r="E57" s="1"/>
  <c r="E58" s="1"/>
  <c r="D54"/>
  <c r="D57" s="1"/>
  <c r="D58" s="1"/>
  <c r="R53"/>
  <c r="Q53"/>
  <c r="P53"/>
  <c r="N53"/>
  <c r="M53"/>
  <c r="L53"/>
  <c r="J53"/>
  <c r="I53"/>
  <c r="R52"/>
  <c r="R55" s="1"/>
  <c r="Q52"/>
  <c r="Q55" s="1"/>
  <c r="P52"/>
  <c r="P55" s="1"/>
  <c r="N52"/>
  <c r="N55" s="1"/>
  <c r="M52"/>
  <c r="M55" s="1"/>
  <c r="L52"/>
  <c r="L55" s="1"/>
  <c r="J52"/>
  <c r="J55" s="1"/>
  <c r="I52"/>
  <c r="I55" s="1"/>
  <c r="R51"/>
  <c r="Q51"/>
  <c r="P51"/>
  <c r="N51"/>
  <c r="M51"/>
  <c r="L51"/>
  <c r="J51"/>
  <c r="I51"/>
  <c r="R50"/>
  <c r="R57" s="1"/>
  <c r="R58" s="1"/>
  <c r="Q50"/>
  <c r="Q57" s="1"/>
  <c r="Q58" s="1"/>
  <c r="P50"/>
  <c r="P57" s="1"/>
  <c r="P58" s="1"/>
  <c r="N50"/>
  <c r="N57" s="1"/>
  <c r="N58" s="1"/>
  <c r="M50"/>
  <c r="M57" s="1"/>
  <c r="M58" s="1"/>
  <c r="L50"/>
  <c r="L57" s="1"/>
  <c r="L58" s="1"/>
  <c r="J50"/>
  <c r="J57" s="1"/>
  <c r="J58" s="1"/>
  <c r="I50"/>
  <c r="I57" s="1"/>
  <c r="I58" s="1"/>
  <c r="M29"/>
  <c r="J29"/>
  <c r="I29"/>
  <c r="G29"/>
  <c r="M27"/>
  <c r="J27"/>
  <c r="I27"/>
  <c r="G27"/>
  <c r="R26"/>
  <c r="Q26"/>
  <c r="P26"/>
  <c r="N26"/>
  <c r="N29" s="1"/>
  <c r="L26"/>
  <c r="L29" s="1"/>
  <c r="F26"/>
  <c r="F29" s="1"/>
  <c r="E26"/>
  <c r="E29" s="1"/>
  <c r="D26"/>
  <c r="D29" s="1"/>
  <c r="R25"/>
  <c r="Q25"/>
  <c r="P25"/>
  <c r="R24"/>
  <c r="R27" s="1"/>
  <c r="Q24"/>
  <c r="Q27" s="1"/>
  <c r="P24"/>
  <c r="P27" s="1"/>
  <c r="R23"/>
  <c r="Q23"/>
  <c r="P23"/>
  <c r="R22"/>
  <c r="R29" s="1"/>
  <c r="Q22"/>
  <c r="Q29" s="1"/>
  <c r="P22"/>
  <c r="P29" s="1"/>
  <c r="H16" i="75"/>
  <c r="F16"/>
  <c r="H15"/>
  <c r="F15"/>
  <c r="H14"/>
  <c r="F14"/>
  <c r="H13"/>
  <c r="F13"/>
  <c r="H12"/>
  <c r="F12"/>
  <c r="H11"/>
  <c r="F11"/>
  <c r="H10"/>
  <c r="F10"/>
  <c r="H9"/>
  <c r="F9"/>
  <c r="H8"/>
  <c r="F8"/>
  <c r="P12" i="96"/>
  <c r="O12"/>
  <c r="N12"/>
  <c r="M12"/>
  <c r="L12"/>
  <c r="K12"/>
  <c r="J12"/>
  <c r="I12"/>
  <c r="H12"/>
  <c r="G12"/>
  <c r="E111" i="94" l="1"/>
  <c r="G111"/>
  <c r="D111"/>
  <c r="F111"/>
  <c r="E83"/>
  <c r="G83"/>
  <c r="D83"/>
  <c r="E55"/>
  <c r="G55"/>
  <c r="D55"/>
  <c r="F55"/>
  <c r="E27"/>
  <c r="D27"/>
  <c r="F27"/>
  <c r="L27"/>
  <c r="N27"/>
</calcChain>
</file>

<file path=xl/sharedStrings.xml><?xml version="1.0" encoding="utf-8"?>
<sst xmlns="http://schemas.openxmlformats.org/spreadsheetml/2006/main" count="3041" uniqueCount="994">
  <si>
    <t>ÍNDICE DE QUADROS</t>
  </si>
  <si>
    <t>I. SITUAÇÃO DA EDUCAÇÃO: ALGUNS DADOS DE REFERÊNCIA</t>
  </si>
  <si>
    <t>Pirâmides etárias da população residente em Portugal (1995 e 2009)</t>
  </si>
  <si>
    <t xml:space="preserve">Figura 1.1. </t>
  </si>
  <si>
    <t>1. A População Portuguesa e as suas Qualificações</t>
  </si>
  <si>
    <t>População estrangeira com residência legalizada em Portugal (2001 a 2008)</t>
  </si>
  <si>
    <t xml:space="preserve">Figura 1.2. </t>
  </si>
  <si>
    <t>Principais nacionalidades com título de residência ou prorrogações de VLD em Portugal (2008) (dados provisórios)</t>
  </si>
  <si>
    <t>Figura 1.3.</t>
  </si>
  <si>
    <r>
      <t xml:space="preserve">Principais nacionalidades com título de residência ou prorrogações de VLD em Portugal (2008) </t>
    </r>
    <r>
      <rPr>
        <sz val="8"/>
        <color theme="1"/>
        <rFont val="Calibri"/>
        <family val="2"/>
        <scheme val="minor"/>
      </rPr>
      <t>(dados provisórios)</t>
    </r>
  </si>
  <si>
    <t>População estrangeira residente por sexo e por distritos, em Portugal (2008) (dados provisórios)</t>
  </si>
  <si>
    <t xml:space="preserve">Figura 1.4. </t>
  </si>
  <si>
    <r>
      <t xml:space="preserve">População estrangeira residente por sexo e por distritos, em Portugal (2008) </t>
    </r>
    <r>
      <rPr>
        <sz val="8"/>
        <color theme="1"/>
        <rFont val="Calibri"/>
        <family val="2"/>
        <scheme val="minor"/>
      </rPr>
      <t>(dados provisórios)</t>
    </r>
  </si>
  <si>
    <t>Qualificações da população activa (%), por grupo etário, em Portugal (2000 e 2009)</t>
  </si>
  <si>
    <t xml:space="preserve">Figura 1.5. </t>
  </si>
  <si>
    <t>Certificações de adultos (em número e %), em Portugal (2001 a Março de 2010)</t>
  </si>
  <si>
    <t xml:space="preserve">Figura 1.6 </t>
  </si>
  <si>
    <t>Tendência de evolução dos níveis de qualificação da população activa com idade ≥ 15 anos, (%), na EU25 e em Portugal (2000, 2007, 2013 e 2020)</t>
  </si>
  <si>
    <t xml:space="preserve">Figura 1.7. </t>
  </si>
  <si>
    <t>População activa (em milhares e %) e % da população empregada, segundo o nível de escolaridade, em Portugal (1º trimestre de 2010)</t>
  </si>
  <si>
    <t xml:space="preserve">Figura 1.8. </t>
  </si>
  <si>
    <t>1.1.</t>
  </si>
  <si>
    <t>1.2.</t>
  </si>
  <si>
    <t>1.3.</t>
  </si>
  <si>
    <t>1.4.</t>
  </si>
  <si>
    <t>1.5.</t>
  </si>
  <si>
    <t>1.6.</t>
  </si>
  <si>
    <t>1.7.</t>
  </si>
  <si>
    <t>1.8.</t>
  </si>
  <si>
    <t>2. Educação de Infância</t>
  </si>
  <si>
    <t>Taxa de cobertura de creches e amas (%), no Continente (2000,2004, 2008 e 2009)</t>
  </si>
  <si>
    <t xml:space="preserve">Figura 2.1. </t>
  </si>
  <si>
    <t>Taxa de cobertura creches e amas (%), por distritos do Continente (2000, 2004 e 2009)</t>
  </si>
  <si>
    <t xml:space="preserve">Figura 2.2. </t>
  </si>
  <si>
    <t>Taxas de actividade de mulheres e de homens (%), em Portugal (2009)</t>
  </si>
  <si>
    <t xml:space="preserve">Figura 2.3. </t>
  </si>
  <si>
    <t>Número de estabelecimentos de educação pré-escolar, por natureza do estabelecimento, segundo as NUTS II (1995/96 e 2007/08)</t>
  </si>
  <si>
    <t xml:space="preserve">Figura 2.4. </t>
  </si>
  <si>
    <t>Taxa de pré-escolarização (%), por idade, em Portugal (1970/71 a 2007/08)</t>
  </si>
  <si>
    <t xml:space="preserve">Figura 2.5. </t>
  </si>
  <si>
    <t>Número de crianças inscritas, segundo a rede institucional, em Portugal (1995/96 a 2007/08)</t>
  </si>
  <si>
    <t xml:space="preserve">Figura 2.6. </t>
  </si>
  <si>
    <t>Crianças não admitidas por falta de vaga (%) nos jardins de infância da rede pública, segundo a idade e por direcção regional de educação, no Continente (2008/09)</t>
  </si>
  <si>
    <t xml:space="preserve">Figura 2.7. </t>
  </si>
  <si>
    <t>3. Ensinos Básico e Secundário</t>
  </si>
  <si>
    <t>Número de alunos matriculados nos ensinos básico e secundário, segundo o ciclo de estudos, em Portugal (1970/71 a 2007/08)</t>
  </si>
  <si>
    <t xml:space="preserve">Figura 3.1. </t>
  </si>
  <si>
    <t>2.1.</t>
  </si>
  <si>
    <t>2.2.</t>
  </si>
  <si>
    <t>2.3.</t>
  </si>
  <si>
    <t>2.4.</t>
  </si>
  <si>
    <t>2.5.</t>
  </si>
  <si>
    <t>2.6.</t>
  </si>
  <si>
    <t>2.7.</t>
  </si>
  <si>
    <t>Taxa real de escolarização (%) nos ensinos básico e secundário, segundo o ciclo de estudos, em Portugal (1970/71 a 2007/08)</t>
  </si>
  <si>
    <t xml:space="preserve">Figura 3.2. </t>
  </si>
  <si>
    <t>Alunos matriculados (%) segundo o sexo, por nível de ensino, em Portugal (1970/71, 1975/76, 1980/81, 1985/86, 1990/91, 1995/96, 2000/01, 2005/06 a 2007/08)</t>
  </si>
  <si>
    <t xml:space="preserve">Figura 3.3. </t>
  </si>
  <si>
    <t>Número de alunos matriculados em escolas da rede privada, segundo o nível de ensino, em Portugal (1970/71 a 2007/08)</t>
  </si>
  <si>
    <t xml:space="preserve">Figura 3.4. </t>
  </si>
  <si>
    <t>Número de alunos inscritos em cursos profissionais, segundo a natureza institucional, em Portugal (1995/96 a 2008/09)</t>
  </si>
  <si>
    <t xml:space="preserve">Figura 3.5. </t>
  </si>
  <si>
    <t>Alunos matriculados em cursos de nível secundário de dupla certificação e cursos gerais, em Portugal (2007/08)</t>
  </si>
  <si>
    <t xml:space="preserve">Figura 3.6. </t>
  </si>
  <si>
    <t>Taxa de transição/conclusão (%), por ciclo do ensino básico, em Portugal (1995/96 a 2007/08)</t>
  </si>
  <si>
    <t xml:space="preserve">Figura 3.7. </t>
  </si>
  <si>
    <t>Taxa de transição/conclusão (%), por ano de escolaridade do ensino secundário, em Portugal (1995/96 a 2007/08)</t>
  </si>
  <si>
    <t xml:space="preserve">Figura 3.8. </t>
  </si>
  <si>
    <t>Taxa de transição/conclusão nos cursos gerais e tecnológicos do ensino secundário, em Portugal (1995/96 a 2007/08)</t>
  </si>
  <si>
    <t xml:space="preserve">Figura 3.9. </t>
  </si>
  <si>
    <t>Taxa de transição (%) no 1º ciclo em escolas da rede pública, por ano de escolaridade, em Portugal (2000/01 a 2007/08)</t>
  </si>
  <si>
    <t xml:space="preserve">Figura 3.10. </t>
  </si>
  <si>
    <t>Taxa de transição (%) no 1º ciclo em escolas da rede privada, por ano de escolaridade, em Portugal (2000/01 a 2007/08)</t>
  </si>
  <si>
    <t xml:space="preserve">Figura 3.11. </t>
  </si>
  <si>
    <t>Taxa de transição (%) no 2º ciclo em escolas da rede pública, por ano de escolaridade, em Portugal (2000/01 a 2007/08)</t>
  </si>
  <si>
    <t xml:space="preserve">Figura 3.12. </t>
  </si>
  <si>
    <t>Taxa de transição (%) no 2º ciclo em escolas da rede privada, por ano de escolaridade, em Portugal (2000/01 a 2007/08)</t>
  </si>
  <si>
    <t xml:space="preserve">Figura 3.13. </t>
  </si>
  <si>
    <t>Taxa de transição (%) no 3º ciclo em escolas da rede pública, por ano de escolaridade, em Portugal (2000/01 a 2007/08)</t>
  </si>
  <si>
    <t xml:space="preserve">Figura 3.14. </t>
  </si>
  <si>
    <t>Taxa de transição (%) no 3º ciclo em escolas da rede privada, por ano de escolaridade, em Portugal (2000/01 a 2007/08)</t>
  </si>
  <si>
    <t xml:space="preserve">Figura 3.15. </t>
  </si>
  <si>
    <t>Taxa de transição (%) no ensino secundário em escolas da rede pública, por ano de escolaridade e modalidade de formação, em Portugal (2000/01 a 2007/08)</t>
  </si>
  <si>
    <t xml:space="preserve">Figura 3.16. </t>
  </si>
  <si>
    <t>Taxa de transição (%) no ensino secundário em escolas da rede privada, por ano de escolaridade e modalidade de formação, em Portugal (2000/01 a 2007/08)</t>
  </si>
  <si>
    <t xml:space="preserve">Figura 3.17. </t>
  </si>
  <si>
    <t>Taxa de transição no ensino básico, segundo o ciclo de estudos, por NUT III, em Portugal (2007/08)</t>
  </si>
  <si>
    <t xml:space="preserve">Figura 3.18. </t>
  </si>
  <si>
    <t>Taxa de transição no ensino secundário, segundo a modalidade de formação, por NUT III, em Portugal (2007/08)</t>
  </si>
  <si>
    <t xml:space="preserve">Figura 3.19. </t>
  </si>
  <si>
    <t>Proporção de alunos que reprovaram ou desistiram, segundo o nível de ensino, em Portugal (1995/96 a 2007/08)</t>
  </si>
  <si>
    <t xml:space="preserve">Figura 3.20. </t>
  </si>
  <si>
    <t>Probabilidade média de conclusão em tempo normal do ensino básico, por ciclo de estudo, em Portugal (1996/97 a 2007/08)</t>
  </si>
  <si>
    <t xml:space="preserve">Figura 3.21. </t>
  </si>
  <si>
    <t>Alunos matriculados com idade “ideal” de frequência e com “desvio etário” relativamente àquela idade, em Portugal (1994/95, 1999/00, 2004/05 e 2007/08)</t>
  </si>
  <si>
    <t xml:space="preserve">Figura 3.22. </t>
  </si>
  <si>
    <t>Resultados globais das provas de aferição de língua portuguesa e matemática do 1.º ciclo (%), segundo o nível de desempenho e por sexo, no Continente e Região Autónoma da Madeira (2009)</t>
  </si>
  <si>
    <t xml:space="preserve">Figura 3.23. </t>
  </si>
  <si>
    <t>Resultados globais das provas de aferição de língua portuguesa e matemática do 2.º ciclo (%), segundo o nível de desempenho e por sexo, no Continente e Região Autónoma da Madeira (2009)</t>
  </si>
  <si>
    <t xml:space="preserve">Figura 3.24. </t>
  </si>
  <si>
    <t>Resultados das provas de aferição por níveis globais de desempenho (%) em língua portuguesa e matemática no 1.º Ciclo, no Continente e Região Autónoma da Madeira (2008 a 2010)</t>
  </si>
  <si>
    <t xml:space="preserve">Figura 3.25. </t>
  </si>
  <si>
    <t>Resultados das provas de aferição por níveis globais de desempenho (%) em língua portuguesa e matemática no 2.º Ciclo, no Continente e Região Autónoma da Madeira (2008 a 2010)</t>
  </si>
  <si>
    <t xml:space="preserve">Figura 3.26. </t>
  </si>
  <si>
    <t>Média dos níveis de classificação dos exames nacionais de 9º ano, em Portugal (2005 a 2009)</t>
  </si>
  <si>
    <t xml:space="preserve">Figura 3.27. </t>
  </si>
  <si>
    <t>Médias das classificações dos exames nacionais de 11º e 12º anos, em Portugal (2005 a 2009)</t>
  </si>
  <si>
    <t xml:space="preserve">Figura 3.28. </t>
  </si>
  <si>
    <t>Classificação média em leitura, matemática e ciências nos três ciclos de avaliação do PISA, em Portugal (2000, 2003 e 2006)</t>
  </si>
  <si>
    <t xml:space="preserve">Figura 3.29. </t>
  </si>
  <si>
    <t>Classificação média em leitura, matemática e ciências, por sexo, nos três ciclos de avaliação do PISA, em Portugal (2000, 2003 e 2006)</t>
  </si>
  <si>
    <t xml:space="preserve">Figura 3.30. </t>
  </si>
  <si>
    <t>Classificação média em leitura, matemática e ciências, no primeiro ciclo de avaliação do PISA, por NUT II, em Portugal (2000)</t>
  </si>
  <si>
    <t xml:space="preserve">Figura 3.31. </t>
  </si>
  <si>
    <t>Classificação média em ciências, nos primeiro e terceiro ciclos de avaliação do PISA, por NUT II, em Portugal (2000 e 2006)</t>
  </si>
  <si>
    <t xml:space="preserve">Figura 3.32. </t>
  </si>
  <si>
    <t>Desempenho dos alunos em ciências, segundo o ano de escolaridade, no terceiro ciclo de avaliação do PISA, em Portugal (2006)</t>
  </si>
  <si>
    <t xml:space="preserve">Figura 3.33. </t>
  </si>
  <si>
    <t>Desempenho dos alunos face ao estatuto de emigração, nos primeiro e terceiro ciclos de avaliação do PISA, em Portugal (2000 e 2006)</t>
  </si>
  <si>
    <t xml:space="preserve">Figura 3.34. </t>
  </si>
  <si>
    <t>Desempenho em ciências e impacto da origem socioeconómica, no terceiro ciclo de avaliação do PISA (2006)</t>
  </si>
  <si>
    <t xml:space="preserve">Figura 3.35. 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</si>
  <si>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</si>
  <si>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</si>
  <si>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</si>
  <si>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</si>
  <si>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</si>
  <si>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</si>
  <si>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</si>
  <si>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</si>
  <si>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</si>
  <si>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3.10.</t>
  </si>
  <si>
    <t>3.11.</t>
  </si>
  <si>
    <t>3.12.</t>
  </si>
  <si>
    <t>3.13.</t>
  </si>
  <si>
    <t>3.14.</t>
  </si>
  <si>
    <t>3.15.</t>
  </si>
  <si>
    <t>3.16.</t>
  </si>
  <si>
    <t>3.17.</t>
  </si>
  <si>
    <t>3.18.</t>
  </si>
  <si>
    <t>3.19.</t>
  </si>
  <si>
    <t>3.20.</t>
  </si>
  <si>
    <t>3.21.</t>
  </si>
  <si>
    <t>3.22.</t>
  </si>
  <si>
    <t>3.23.</t>
  </si>
  <si>
    <t>3.24.</t>
  </si>
  <si>
    <t>3.25.</t>
  </si>
  <si>
    <t>3.26.</t>
  </si>
  <si>
    <t>3.27.</t>
  </si>
  <si>
    <t>3.28.</t>
  </si>
  <si>
    <t>3.29.</t>
  </si>
  <si>
    <t>3.30.</t>
  </si>
  <si>
    <t>3.31.</t>
  </si>
  <si>
    <t>3.32.</t>
  </si>
  <si>
    <t>3.33.</t>
  </si>
  <si>
    <t>3.34.</t>
  </si>
  <si>
    <t>3.35.</t>
  </si>
  <si>
    <t>4. Ensino Superior</t>
  </si>
  <si>
    <t>Ciclos de estudo do ensino superior por área científica, em Portugal (Dezembro 2009)</t>
  </si>
  <si>
    <t xml:space="preserve">Figura 4.1. </t>
  </si>
  <si>
    <t>Frequência de ciclos de estudos do ensino superior, por distrito, em Portugal (Dezembro 2009)</t>
  </si>
  <si>
    <t xml:space="preserve">Figura 4.2. </t>
  </si>
  <si>
    <t>Taxa de escolarização (%) no ensino superior em percentagem da população com idade correspondente, dos 18 aos 24 anos, em Portugal (1997/98 e 2008/09)</t>
  </si>
  <si>
    <t xml:space="preserve">Figura 4.3. </t>
  </si>
  <si>
    <t>Inscritos no ensino superior (%), por sexo, em Portugal (1995/96 a 2008/09)</t>
  </si>
  <si>
    <t xml:space="preserve">Figura 4.4. </t>
  </si>
  <si>
    <t>Número de inscritos no ensino superior, por sector de ensino, em Portugal (1995/96 a 2008/09)</t>
  </si>
  <si>
    <t xml:space="preserve">Figura 4.5. </t>
  </si>
  <si>
    <r>
      <rPr>
        <sz val="10"/>
        <color theme="1"/>
        <rFont val="Calibri"/>
        <family val="2"/>
        <scheme val="minor"/>
      </rPr>
      <t>Número de inscritos no ensino superior, por subsistema de ensino,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em Portugal (1995/96 a 2008/09)</t>
    </r>
  </si>
  <si>
    <t xml:space="preserve">Figura 4.6.a. </t>
  </si>
  <si>
    <r>
      <rPr>
        <sz val="10"/>
        <color theme="1"/>
        <rFont val="Calibri"/>
        <family val="2"/>
        <scheme val="minor"/>
      </rPr>
      <t>Número de inscritos no ensino superior, por subsistema de ensino e sexo,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em Portugal (2000/01 a 2008/09)</t>
    </r>
  </si>
  <si>
    <t xml:space="preserve">Figura 4.6.b. </t>
  </si>
  <si>
    <t>Número de vagas para cursos de ensino superior, por sector institucional, em Portugal (1995/96 a 2008/09)</t>
  </si>
  <si>
    <t xml:space="preserve">Figura 4.7. </t>
  </si>
  <si>
    <t>Número de vagas para cursos do ensino superior público, em Portugal (1995/96 a 2008/09)</t>
  </si>
  <si>
    <t xml:space="preserve">Figura 4.8. </t>
  </si>
  <si>
    <t>Número de vagas para cursos do ensino superior privado, em Portugal (1995/96 a 2008/09)</t>
  </si>
  <si>
    <t xml:space="preserve">Figura 4.9. </t>
  </si>
  <si>
    <t>Número de candidatos, vagas e estudantes colocados no ensino superior público, em Portugal (1999 a 2009)</t>
  </si>
  <si>
    <t xml:space="preserve">Figura 4.10. </t>
  </si>
  <si>
    <t>Número de inscritos em CET por área de educação e formação, em Portugal (2004/05 a 2008/09)</t>
  </si>
  <si>
    <t xml:space="preserve">Figura 4.11. </t>
  </si>
  <si>
    <t>Número de alunos maiores de 23 anos inscritos no 1º ano, pela 1ª vez, por sector e subsistema de ensino, em Portugal (2007 a 2009)</t>
  </si>
  <si>
    <t xml:space="preserve">Figura 4.12. </t>
  </si>
  <si>
    <t>Número de bolseiros do ensino superior, por subsistema de ensino, em Portugal (1995 a 2008)</t>
  </si>
  <si>
    <t xml:space="preserve">Figura 4.13. </t>
  </si>
  <si>
    <t>Número de diplomados do ensino superior, por subsistema de ensino, em Portugal (1995/96 a 2007/08)</t>
  </si>
  <si>
    <t xml:space="preserve">Figura 4.14. </t>
  </si>
  <si>
    <t>Número de diplomados do ensino superior, por área de educação, em Portugal (1995/96 a 2007/08)</t>
  </si>
  <si>
    <t xml:space="preserve">Figura 4.15. </t>
  </si>
  <si>
    <t>Número de diplomados do ensino superior, por sexo, em Portugal (1995/96 a 2007/08)</t>
  </si>
  <si>
    <t xml:space="preserve">Figura 4.16. </t>
  </si>
  <si>
    <t>5. Recursos Educativos</t>
  </si>
  <si>
    <t>4.1.</t>
  </si>
  <si>
    <t>4.2.</t>
  </si>
  <si>
    <t>4.3.</t>
  </si>
  <si>
    <t>4.4.</t>
  </si>
  <si>
    <t>4.5.</t>
  </si>
  <si>
    <t>4.7.</t>
  </si>
  <si>
    <t>4.8.</t>
  </si>
  <si>
    <t>4.9.</t>
  </si>
  <si>
    <t>4.10.</t>
  </si>
  <si>
    <t>4.11.</t>
  </si>
  <si>
    <t>4.12.</t>
  </si>
  <si>
    <t>4.13.</t>
  </si>
  <si>
    <t>4.14.</t>
  </si>
  <si>
    <t>4.15.</t>
  </si>
  <si>
    <t>4.16.</t>
  </si>
  <si>
    <t>4.6.a.</t>
  </si>
  <si>
    <t>4.6.b.</t>
  </si>
  <si>
    <t>Número de educadores de infância em exercício, segundo a natureza institucional e o grau académico, em Portugal (1998/99 a 2007/08)</t>
  </si>
  <si>
    <t xml:space="preserve">Figura 5.1. </t>
  </si>
  <si>
    <t>Número de educadores de infância em exercício, por grupo etário, no Continente (1997/98 a 2007/08)</t>
  </si>
  <si>
    <t xml:space="preserve">Figura 5.2. </t>
  </si>
  <si>
    <t>Docentes em exercício na educação pré-escolar (%), segundo a natureza institucional, em Portugal (1970/71 a 1976/77 e 1997/98 a 2007/08)</t>
  </si>
  <si>
    <t xml:space="preserve">Figura 5.3. </t>
  </si>
  <si>
    <t>Número de docentes em exercício no 1º ciclo do ensino básico, segundo o grau académico, no Continente, (1998/99 a 2007/08)</t>
  </si>
  <si>
    <t xml:space="preserve">Figura 5.4. </t>
  </si>
  <si>
    <t>Número de docentes em exercício nos 2º e 3º ciclos do ensino básico, segundo o grau académico, no Continente (1998/1999 a 2007/08)</t>
  </si>
  <si>
    <t xml:space="preserve">Figura 5.5. </t>
  </si>
  <si>
    <t>Índice de envelhecimento dos docentes em exercício, segundo o nível de educação/ensino, no Continente (1999/00 a 2007/08)</t>
  </si>
  <si>
    <t xml:space="preserve">Figura 5.6. </t>
  </si>
  <si>
    <t>Número de docentes do ensino superior, segundo a natureza institucional, em Portugal (2001 a 2008)</t>
  </si>
  <si>
    <t xml:space="preserve">Figura 5.7. </t>
  </si>
  <si>
    <t>Número de docentes do ensino superior, segundo a natureza institucional, por grau académico mais elevado, em Portugal (2001 a 2008)</t>
  </si>
  <si>
    <t xml:space="preserve">Figura 5.8. </t>
  </si>
  <si>
    <t>Pessoal não docente (n.º), segundo a natureza do estabelecimento, por NUTS II, no Continente (2006/07 a 2008/09)</t>
  </si>
  <si>
    <t xml:space="preserve">Figura 5.9. </t>
  </si>
  <si>
    <t>Pessoal não docente (n.º), segundo o sexo, por NUTS II, no Continente (2006/07 a 2008/09)</t>
  </si>
  <si>
    <t xml:space="preserve">Figura 5.10. </t>
  </si>
  <si>
    <t>Número de bibliotecas escolares integradas na RBE, no Continente (1997 a 2010)</t>
  </si>
  <si>
    <t xml:space="preserve">Figura 5.11. </t>
  </si>
  <si>
    <t>População escolar abrangida pelo programa RBE (%), segundo o ciclo/nível de ensino, no Continente (2008)</t>
  </si>
  <si>
    <t xml:space="preserve">Figura 5.12. </t>
  </si>
  <si>
    <t>População escolar abrangida pelo programa RBE (%), por direcção regional de educação, no Continente (2008)</t>
  </si>
  <si>
    <t xml:space="preserve">Figura 5.13. </t>
  </si>
  <si>
    <t>Número de alunos por computador nos ensinos básico e secundário regular, no Continente (2001/02 a 2007/08)</t>
  </si>
  <si>
    <t xml:space="preserve">Figura 5.14. </t>
  </si>
  <si>
    <t>Despesa anual por aluno (milhares de euros) e nível de ensino (CITE 1,2 a 4 e 5 a 6) em estabelecimentos públicos, nos países europeus da Eurybase (2006)</t>
  </si>
  <si>
    <t xml:space="preserve">Figura 5.15. </t>
  </si>
  <si>
    <t>Orçamento do Estado em educação: execução orçamental em % do PIB, em Portugal (1972 a 2009)</t>
  </si>
  <si>
    <t xml:space="preserve">Figura 5.16. </t>
  </si>
  <si>
    <t>Orçamento do Estado em educação: execução orçamental (preços constantes - PIB), em Portugal (1972 a 2009)</t>
  </si>
  <si>
    <t xml:space="preserve">Figura 5.17. </t>
  </si>
  <si>
    <t>Despesa pública com a educação em % da despesa pública total, em Portugal (2000 a 2008)</t>
  </si>
  <si>
    <t xml:space="preserve">Figura 5.18. </t>
  </si>
  <si>
    <t>Despesas com infância (0 aos 3 anos) no âmbito da cooperação, no Continente (1985, 1998 e 2000 a 2008)</t>
  </si>
  <si>
    <t xml:space="preserve">Figura 5.19. </t>
  </si>
  <si>
    <t>Orçamento do Ministério da Educação, por acções, no Continente (2001 a 2009) (I)</t>
  </si>
  <si>
    <t xml:space="preserve">Figura 5.20. </t>
  </si>
  <si>
    <t>Orçamento do Ministério da Educação, por acções, no Continente (2001 a 2009) (II)</t>
  </si>
  <si>
    <t xml:space="preserve">Figura 5.21. </t>
  </si>
  <si>
    <t>Orçamento do Ministério da Educação, por acções, no Continente (2001 a 2009) (III)</t>
  </si>
  <si>
    <t xml:space="preserve">Figura 5.22. </t>
  </si>
  <si>
    <t>Despesas do Ministério da Educação por tipo de despesa, no Continente (2000 a 2008)</t>
  </si>
  <si>
    <t xml:space="preserve">Figura 5.23. </t>
  </si>
  <si>
    <t>Despesa pública média aluno/ano do ensino público não superior, no Continente (2000 a 2008)</t>
  </si>
  <si>
    <t xml:space="preserve">Figura 5.24. </t>
  </si>
  <si>
    <t>Despesa com acção social escolar no ensino não superior, no Continente (2000 a 2009)</t>
  </si>
  <si>
    <t xml:space="preserve">Figura 5.25. </t>
  </si>
  <si>
    <r>
      <rPr>
        <sz val="10"/>
        <color theme="1"/>
        <rFont val="Calibri"/>
        <family val="2"/>
        <scheme val="minor"/>
      </rPr>
      <t>Despesas com bolseiros do ensino superior (acção social directa),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por subsistema de ensino, em Portugal (1995 a 2008)</t>
    </r>
  </si>
  <si>
    <t xml:space="preserve">Figura 5.26. </t>
  </si>
  <si>
    <t>6. Desafios da União Europeia para 2020</t>
  </si>
  <si>
    <t>Portugal face às metas da UE para 2010 e 2020 (1999 a 2009)</t>
  </si>
  <si>
    <t xml:space="preserve">Figura 6.1. </t>
  </si>
  <si>
    <t>6.1.</t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</si>
  <si>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</si>
  <si>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</si>
  <si>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</si>
  <si>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</si>
  <si>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</si>
  <si>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</si>
  <si>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</si>
  <si>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</si>
  <si>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</si>
  <si>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</si>
  <si>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</si>
  <si>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</si>
  <si>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</si>
  <si>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</si>
  <si>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</si>
  <si>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</si>
  <si>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</si>
  <si>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5.18.</t>
  </si>
  <si>
    <t>5.19.</t>
  </si>
  <si>
    <t>5.20.</t>
  </si>
  <si>
    <t>5.21.</t>
  </si>
  <si>
    <t>5.22.</t>
  </si>
  <si>
    <t>5.23.</t>
  </si>
  <si>
    <t>5.24.</t>
  </si>
  <si>
    <t>5.25.</t>
  </si>
  <si>
    <t>5.26.</t>
  </si>
  <si>
    <t>II. TEMA DO ANO 2010: A QUALIDADE DOS PERCURSOS ESCOLARES</t>
  </si>
  <si>
    <t>1. Análise de Coortes</t>
  </si>
  <si>
    <t>Taxa de escolarização (%) segundo o nível de educação/ensino, por idade, no Continente (1994/95, 2004/05 e 2007/08)</t>
  </si>
  <si>
    <t xml:space="preserve">Figura II.1.1. </t>
  </si>
  <si>
    <t>Alunos matriculados com idade “ideal” de frequência e com “desvio etário” relativamente àquela idade, por sexo (1994/95, 1999/00, 2004/05 e 2007/08)</t>
  </si>
  <si>
    <t xml:space="preserve">Figura II.1.2. </t>
  </si>
  <si>
    <t>Percurso escolar dos alunos do 1.º ao 12.º ano, que entraram no sistema educativo com 6 anos, em 1994/95, e que obtiveram sempre sucesso</t>
  </si>
  <si>
    <t xml:space="preserve">Figura II.1.3. </t>
  </si>
  <si>
    <t>Percurso escolar dos alunos do 1º ao 12º ano, que entraram no sistema educativo, com 6 anos, em 1994/95, e que obtiveram sempre sucesso (%)</t>
  </si>
  <si>
    <t xml:space="preserve">Figura II.1.4. </t>
  </si>
  <si>
    <t>II.1.1</t>
  </si>
  <si>
    <t>II.1.2</t>
  </si>
  <si>
    <t>II.1.3</t>
  </si>
  <si>
    <t>II.1.4</t>
  </si>
  <si>
    <t>Idades</t>
  </si>
  <si>
    <t>Homens</t>
  </si>
  <si>
    <t>Mulheres</t>
  </si>
  <si>
    <t>0 - 5 anos</t>
  </si>
  <si>
    <t>6 - 12 anos</t>
  </si>
  <si>
    <t>13 - 18 anos</t>
  </si>
  <si>
    <t>19 - 24 anos</t>
  </si>
  <si>
    <t>25 - 29 anos</t>
  </si>
  <si>
    <t>30 - 34 anos</t>
  </si>
  <si>
    <t>35 - 64 anos</t>
  </si>
  <si>
    <t>65 e mais anos</t>
  </si>
  <si>
    <t>totais</t>
  </si>
  <si>
    <t>Modelo feito por http://dicasdeexcel.blogspot.com</t>
  </si>
  <si>
    <r>
      <t xml:space="preserve">Fonte: </t>
    </r>
    <r>
      <rPr>
        <i/>
        <sz val="10"/>
        <color theme="1"/>
        <rFont val="Calibri"/>
        <family val="2"/>
        <scheme val="minor"/>
      </rPr>
      <t>Estimativas da População por sexo -</t>
    </r>
    <r>
      <rPr>
        <sz val="10"/>
        <color theme="1"/>
        <rFont val="Calibri"/>
        <family val="2"/>
        <scheme val="minor"/>
      </rPr>
      <t xml:space="preserve"> 1995 e 2009, DES/Serviço de Estatísticas Demográficas - INE, em 19 de Julho de 2010</t>
    </r>
  </si>
  <si>
    <r>
      <t xml:space="preserve">que deram origem às Figuras da publicação </t>
    </r>
    <r>
      <rPr>
        <b/>
        <sz val="12"/>
        <color theme="4" tint="-0.249977111117893"/>
        <rFont val="Calibri"/>
        <family val="2"/>
        <scheme val="minor"/>
      </rPr>
      <t>ESTADO DA EDUCAÇÃO 2010</t>
    </r>
  </si>
  <si>
    <t>Número de inscritos no ensino superior, por subsistema de ensino, em Portugal (1995/96 a 2008/09)</t>
  </si>
  <si>
    <t>Número de inscritos no ensino superior, por subsistema de ensino e sexo, em Portugal (2000/01 a 2008/09)</t>
  </si>
  <si>
    <t>Despesas com bolseiros do ensino superior (acção social directa), por subsistema de ensino, em Portugal (1995 a 2008)</t>
  </si>
  <si>
    <t>Vertente / Modalidade</t>
  </si>
  <si>
    <t>N.º de certificações</t>
  </si>
  <si>
    <t>2001-2005</t>
  </si>
  <si>
    <t>Desde 2006</t>
  </si>
  <si>
    <t>RVCC</t>
  </si>
  <si>
    <t>Cursos de Educação e Formação de Adultos</t>
  </si>
  <si>
    <t>Vias de Conclusão do Secundário – Exames</t>
  </si>
  <si>
    <t>total de certificações</t>
  </si>
  <si>
    <t>%</t>
  </si>
  <si>
    <t>Caracterização dos candidatos certificados pelos Centros Novas Oportunidades segundo o ano de certificação</t>
  </si>
  <si>
    <t xml:space="preserve"> Sexo</t>
  </si>
  <si>
    <t>N.º</t>
  </si>
  <si>
    <t xml:space="preserve"> Masculino </t>
  </si>
  <si>
    <t>n.d.</t>
  </si>
  <si>
    <t>n.d</t>
  </si>
  <si>
    <t>22 748</t>
  </si>
  <si>
    <t>33 562</t>
  </si>
  <si>
    <t>51 673</t>
  </si>
  <si>
    <t>6 869</t>
  </si>
  <si>
    <t xml:space="preserve"> Feminino</t>
  </si>
  <si>
    <t>32 234</t>
  </si>
  <si>
    <t>40 622</t>
  </si>
  <si>
    <t>59 683</t>
  </si>
  <si>
    <t>7 708</t>
  </si>
  <si>
    <t xml:space="preserve"> Total</t>
  </si>
  <si>
    <t>25 079</t>
  </si>
  <si>
    <t>54 982</t>
  </si>
  <si>
    <t>74 184</t>
  </si>
  <si>
    <t>111 356</t>
  </si>
  <si>
    <t>14 577</t>
  </si>
  <si>
    <t>Grupo etário</t>
  </si>
  <si>
    <t xml:space="preserve"> 18 - 24 anos</t>
  </si>
  <si>
    <t>3 170</t>
  </si>
  <si>
    <t>3 128</t>
  </si>
  <si>
    <t>4 262</t>
  </si>
  <si>
    <t xml:space="preserve"> 25 - 34 anos</t>
  </si>
  <si>
    <t>13 292</t>
  </si>
  <si>
    <t>17 011</t>
  </si>
  <si>
    <t>25 918</t>
  </si>
  <si>
    <t>3 007</t>
  </si>
  <si>
    <t xml:space="preserve"> 35 - 44 anos</t>
  </si>
  <si>
    <t>21 741</t>
  </si>
  <si>
    <t>29 231</t>
  </si>
  <si>
    <t>42 932</t>
  </si>
  <si>
    <t>5 664</t>
  </si>
  <si>
    <t xml:space="preserve"> 45 - 54 anos</t>
  </si>
  <si>
    <t>13 044</t>
  </si>
  <si>
    <t>19 255</t>
  </si>
  <si>
    <t>29 433</t>
  </si>
  <si>
    <t>4 005</t>
  </si>
  <si>
    <t xml:space="preserve"> 55 - 64 anos</t>
  </si>
  <si>
    <t>3 489</t>
  </si>
  <si>
    <t>5 083</t>
  </si>
  <si>
    <t>8 000</t>
  </si>
  <si>
    <t>1 298</t>
  </si>
  <si>
    <t xml:space="preserve"> 65 ou mais anos</t>
  </si>
  <si>
    <r>
      <t xml:space="preserve">C. perante o trabalho </t>
    </r>
    <r>
      <rPr>
        <b/>
        <vertAlign val="superscript"/>
        <sz val="10"/>
        <rFont val="Calibri"/>
        <family val="2"/>
      </rPr>
      <t>1)</t>
    </r>
  </si>
  <si>
    <t xml:space="preserve"> Empregado</t>
  </si>
  <si>
    <t>38 524</t>
  </si>
  <si>
    <t>56 823</t>
  </si>
  <si>
    <t>83 708</t>
  </si>
  <si>
    <t>10 281</t>
  </si>
  <si>
    <t xml:space="preserve"> Desempregado</t>
  </si>
  <si>
    <t>13 966</t>
  </si>
  <si>
    <t>14 157</t>
  </si>
  <si>
    <t>23 167</t>
  </si>
  <si>
    <t>3 624</t>
  </si>
  <si>
    <t xml:space="preserve"> Doméstico</t>
  </si>
  <si>
    <t xml:space="preserve"> Reformado</t>
  </si>
  <si>
    <t xml:space="preserve"> Outra situação</t>
  </si>
  <si>
    <t>2 492</t>
  </si>
  <si>
    <t>3 203</t>
  </si>
  <si>
    <t>3 512</t>
  </si>
  <si>
    <r>
      <t xml:space="preserve">Região (NUT II) </t>
    </r>
    <r>
      <rPr>
        <b/>
        <vertAlign val="superscript"/>
        <sz val="10"/>
        <rFont val="Calibri"/>
        <family val="2"/>
      </rPr>
      <t>2)</t>
    </r>
  </si>
  <si>
    <t xml:space="preserve"> Norte</t>
  </si>
  <si>
    <t>9 401</t>
  </si>
  <si>
    <t>22 602</t>
  </si>
  <si>
    <t>32 771</t>
  </si>
  <si>
    <t>51 598</t>
  </si>
  <si>
    <t>6 269</t>
  </si>
  <si>
    <t xml:space="preserve"> Centro</t>
  </si>
  <si>
    <t>7 337</t>
  </si>
  <si>
    <t>14 207</t>
  </si>
  <si>
    <t>18 010</t>
  </si>
  <si>
    <t>25 719</t>
  </si>
  <si>
    <t>3 193</t>
  </si>
  <si>
    <t xml:space="preserve"> Lisboa</t>
  </si>
  <si>
    <t>5 334</t>
  </si>
  <si>
    <t>9 230</t>
  </si>
  <si>
    <t>13 421</t>
  </si>
  <si>
    <t>22 701</t>
  </si>
  <si>
    <t>3 658</t>
  </si>
  <si>
    <t xml:space="preserve"> Alentejo</t>
  </si>
  <si>
    <t>2 048</t>
  </si>
  <si>
    <t>7 088</t>
  </si>
  <si>
    <t>7 608</t>
  </si>
  <si>
    <t>7 619</t>
  </si>
  <si>
    <t>1 065</t>
  </si>
  <si>
    <t xml:space="preserve"> Algarve</t>
  </si>
  <si>
    <t>1 632</t>
  </si>
  <si>
    <t>1 931</t>
  </si>
  <si>
    <t>3 291</t>
  </si>
  <si>
    <t xml:space="preserve"> R. A. da Madeira</t>
  </si>
  <si>
    <t>Fonte: Relatórios mensais enviados à DGFV (2006) e SIGO (desde 2007, dados provisórios de 31 de Março de 2010).</t>
  </si>
  <si>
    <t>Notas:</t>
  </si>
  <si>
    <t>n.d. – dados não disponíveis</t>
  </si>
  <si>
    <r>
      <t>1)</t>
    </r>
    <r>
      <rPr>
        <sz val="8"/>
        <color theme="1"/>
        <rFont val="Calibri"/>
        <family val="2"/>
      </rPr>
      <t xml:space="preserve"> A distribuição regional é feita de acordo com a localização geográfica dos Centros Novas Oportunidades.</t>
    </r>
  </si>
  <si>
    <t>Média OCDE</t>
  </si>
  <si>
    <t>Média PT</t>
  </si>
  <si>
    <t>ano de escolaridade</t>
  </si>
  <si>
    <t>7º ano</t>
  </si>
  <si>
    <t>8º ano</t>
  </si>
  <si>
    <t>9º ano</t>
  </si>
  <si>
    <t>10º ano</t>
  </si>
  <si>
    <t>11º ano</t>
  </si>
  <si>
    <r>
      <t xml:space="preserve">Fonte: PISA 2006 - </t>
    </r>
    <r>
      <rPr>
        <i/>
        <sz val="10"/>
        <rFont val="Calibri"/>
        <family val="2"/>
      </rPr>
      <t>Competências científicas dos alunos portugueses</t>
    </r>
    <r>
      <rPr>
        <sz val="10"/>
        <rFont val="Calibri"/>
        <family val="2"/>
      </rPr>
      <t>, Dezembro 2007, GAVE/ME, p.26</t>
    </r>
  </si>
  <si>
    <t>Continente</t>
  </si>
  <si>
    <t>Ano lectivo</t>
  </si>
  <si>
    <t>Nível de ensino</t>
  </si>
  <si>
    <t>1.º Ciclo</t>
  </si>
  <si>
    <t>2.º Ciclo</t>
  </si>
  <si>
    <t>3.º Ciclo e Secundário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</si>
  <si>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</si>
  <si>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</si>
  <si>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</si>
  <si>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</si>
  <si>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</si>
  <si>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</si>
  <si>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</si>
  <si>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</si>
  <si>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</si>
  <si>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 xml:space="preserve">execução orçamental  </t>
  </si>
  <si>
    <t xml:space="preserve">execução orçamental em % do PIB </t>
  </si>
  <si>
    <t>Milhões de Euros</t>
  </si>
  <si>
    <t>Ano</t>
  </si>
  <si>
    <t>Despesas do Estado em educação</t>
  </si>
  <si>
    <t>Despesas do Estado em educação em % PIB</t>
  </si>
  <si>
    <t>Fonte: DGO/MFAP - Relatório/publicação "Conta Geral do Estado" (PORDATA; actualização: 15.07.2010); INE–BP - Contas Nacionais Anuais (Base 2000)</t>
  </si>
  <si>
    <t>Milhões de Euros - Preços Constantes, PIB - Base 2000</t>
  </si>
  <si>
    <t>Fonte: DGO/MFAP - Relatório/publicação "Conta Geral do Estado" (PORDATA; actualização: 15.07.2010)</t>
  </si>
  <si>
    <t xml:space="preserve">Nota: O valor dos preços constantes foi medido tendo por base o ano 2000 </t>
  </si>
  <si>
    <t>% da despesa pública</t>
  </si>
  <si>
    <r>
      <t xml:space="preserve">Fonte: </t>
    </r>
    <r>
      <rPr>
        <i/>
        <sz val="10"/>
        <color theme="1"/>
        <rFont val="Calibri"/>
        <family val="2"/>
        <scheme val="minor"/>
      </rPr>
      <t>Despesas por funções da Administração Pública a preços correntes</t>
    </r>
    <r>
      <rPr>
        <sz val="10"/>
        <color theme="1"/>
        <rFont val="Calibri"/>
        <family val="2"/>
        <scheme val="minor"/>
      </rPr>
      <t xml:space="preserve"> (Base 2000 - €), 2010. INE</t>
    </r>
  </si>
  <si>
    <t>Despesa de acção social directa no ensino superior</t>
  </si>
  <si>
    <t>(em Euros)</t>
  </si>
  <si>
    <t>Total</t>
  </si>
  <si>
    <t>Subsistema de ensino</t>
  </si>
  <si>
    <t>Público</t>
  </si>
  <si>
    <t>Privado</t>
  </si>
  <si>
    <t>Fonte: DGES/MCTES (PORDATA; actualização: 03.03.2010)</t>
  </si>
  <si>
    <t>Portugal</t>
  </si>
  <si>
    <t>Metas EU</t>
  </si>
  <si>
    <r>
      <rPr>
        <b/>
        <sz val="9"/>
        <color theme="0"/>
        <rFont val="Calibri"/>
        <family val="2"/>
        <scheme val="minor"/>
      </rPr>
      <t xml:space="preserve">Participação na educação pré-escolar </t>
    </r>
    <r>
      <rPr>
        <sz val="8"/>
        <color theme="0"/>
        <rFont val="Calibri"/>
        <family val="2"/>
        <scheme val="minor"/>
      </rPr>
      <t>(4 anos de idade - ano anterior ao início do ensino primário)</t>
    </r>
  </si>
  <si>
    <r>
      <t xml:space="preserve">Saída escolar precoce </t>
    </r>
    <r>
      <rPr>
        <sz val="7"/>
        <color theme="0"/>
        <rFont val="Calibri"/>
        <family val="2"/>
        <scheme val="minor"/>
      </rPr>
      <t>(18-24 anos)</t>
    </r>
  </si>
  <si>
    <r>
      <t xml:space="preserve">Conclusão do ensino secundário pelos jovens </t>
    </r>
    <r>
      <rPr>
        <sz val="7"/>
        <color theme="0"/>
        <rFont val="Calibri"/>
        <family val="2"/>
        <scheme val="minor"/>
      </rPr>
      <t>(20-24 anos)</t>
    </r>
  </si>
  <si>
    <t>-</t>
  </si>
  <si>
    <r>
      <t xml:space="preserve">% de mulheres diplomadas em </t>
    </r>
    <r>
      <rPr>
        <b/>
        <sz val="9"/>
        <color theme="0"/>
        <rFont val="Calibri"/>
        <family val="2"/>
        <scheme val="minor"/>
      </rPr>
      <t xml:space="preserve">MST </t>
    </r>
    <r>
      <rPr>
        <sz val="7"/>
        <color theme="0"/>
        <rFont val="Calibri"/>
        <family val="2"/>
        <scheme val="minor"/>
      </rPr>
      <t>(ensino superior)</t>
    </r>
  </si>
  <si>
    <t>procura de equilíbrio de género</t>
  </si>
  <si>
    <r>
      <t xml:space="preserve">Conclusão do ensino superior </t>
    </r>
    <r>
      <rPr>
        <sz val="7"/>
        <color theme="0"/>
        <rFont val="Calibri"/>
        <family val="2"/>
        <scheme val="minor"/>
      </rPr>
      <t>(30-34 anos)</t>
    </r>
  </si>
  <si>
    <r>
      <rPr>
        <b/>
        <sz val="9"/>
        <color theme="0"/>
        <rFont val="Calibri"/>
        <family val="2"/>
        <scheme val="minor"/>
      </rPr>
      <t>Participação dos adultos na aprendizagem ao longo da vida</t>
    </r>
    <r>
      <rPr>
        <b/>
        <sz val="8"/>
        <color theme="0"/>
        <rFont val="Calibri"/>
        <family val="2"/>
        <scheme val="minor"/>
      </rPr>
      <t xml:space="preserve"> </t>
    </r>
    <r>
      <rPr>
        <sz val="7"/>
        <color theme="0"/>
        <rFont val="Calibri"/>
        <family val="2"/>
        <scheme val="minor"/>
      </rPr>
      <t>(25-64 anos; período de 4 semanas)</t>
    </r>
  </si>
  <si>
    <r>
      <t xml:space="preserve">Investimento em educação </t>
    </r>
    <r>
      <rPr>
        <sz val="7"/>
        <color theme="0"/>
        <rFont val="Calibri"/>
        <family val="2"/>
        <scheme val="minor"/>
      </rPr>
      <t>(gastos públicos com educação, % do PIB)</t>
    </r>
  </si>
  <si>
    <t>(1)</t>
  </si>
  <si>
    <t>(3)</t>
  </si>
  <si>
    <t>(4)</t>
  </si>
  <si>
    <t>(5)</t>
  </si>
  <si>
    <t>(6)</t>
  </si>
  <si>
    <t>(7)</t>
  </si>
  <si>
    <t>Fonte: Eurostat</t>
  </si>
  <si>
    <t>Fonte: INE e GEPE/ME</t>
  </si>
  <si>
    <t>(1) Última actualização: 31.05.2010</t>
  </si>
  <si>
    <t>Nota: As % de "Conclusão do ensino secundário pelos jovens (20-24 anos)" são previsionais de 2001 a 2008</t>
  </si>
  <si>
    <t>(2) Última actualização: 10.04.2010</t>
  </si>
  <si>
    <t>(2)</t>
  </si>
  <si>
    <t>(3) Última actualização: 19.05.2010</t>
  </si>
  <si>
    <t>(4) Última actualização: 01.06.2010</t>
  </si>
  <si>
    <t>(5) Última actualização: 18.06.2010</t>
  </si>
  <si>
    <t>(6) Última actualização: 12.03.2010</t>
  </si>
  <si>
    <t>(7) Última actualização: 01.06.2010</t>
  </si>
  <si>
    <t>Distritos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</si>
  <si>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</si>
  <si>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</si>
  <si>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</si>
  <si>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</si>
  <si>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</si>
  <si>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</si>
  <si>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</si>
  <si>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</si>
  <si>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</si>
  <si>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</si>
  <si>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</si>
  <si>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</si>
  <si>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</si>
  <si>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</si>
  <si>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</si>
  <si>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</si>
  <si>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</si>
  <si>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</si>
  <si>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</si>
  <si>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</si>
  <si>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Total Nacional</t>
  </si>
  <si>
    <t>Principais Nacionalidades com Título de Residência ou Prorrogações de Vistos de Longa Duração</t>
  </si>
  <si>
    <t>BRASIL</t>
  </si>
  <si>
    <t>UCRÂNIA</t>
  </si>
  <si>
    <t>CABO VERDE</t>
  </si>
  <si>
    <t>ROMÉNIA</t>
  </si>
  <si>
    <t>ANGOLA</t>
  </si>
  <si>
    <t>GUINÉ-BISSAU</t>
  </si>
  <si>
    <t>MOLDÁVIA</t>
  </si>
  <si>
    <t>Restantes Países</t>
  </si>
  <si>
    <t>Fonte: SEF - "Relatório de Imigração - Fronteiras e Asilo", 2008</t>
  </si>
  <si>
    <t>Com Título de Residência ou Prorrogações de VLD</t>
  </si>
  <si>
    <t>H</t>
  </si>
  <si>
    <t>M</t>
  </si>
  <si>
    <t>HM</t>
  </si>
  <si>
    <t>Creche e amas</t>
  </si>
  <si>
    <t>% do PIB</t>
  </si>
  <si>
    <t>Fonte: IGFSS, Conta da Segurança Social</t>
  </si>
  <si>
    <t>Euros</t>
  </si>
  <si>
    <t>Anos</t>
  </si>
  <si>
    <t>Despesas Pessoal</t>
  </si>
  <si>
    <t>Outras Despesas Correntes</t>
  </si>
  <si>
    <t>Despesas de Capital
(Inclui PIDDAC)</t>
  </si>
  <si>
    <t>Fonte: Despesa ME: GGF/ME, Relatórios de Execução Orçamental</t>
  </si>
  <si>
    <r>
      <t xml:space="preserve">Desp. média aluno </t>
    </r>
    <r>
      <rPr>
        <b/>
        <sz val="8"/>
        <color theme="0"/>
        <rFont val="Calibri"/>
        <family val="2"/>
      </rPr>
      <t>(euros)</t>
    </r>
  </si>
  <si>
    <t>Nº Alunos</t>
  </si>
  <si>
    <t>Alunos: Séries Cronológicas, Alunos.1985-2005; cfr. Estatísticas da Educação. 2005/06; 2006/07; 2007/2008; 2008/2009. GEPE/ME</t>
  </si>
  <si>
    <t>ASE</t>
  </si>
  <si>
    <t>ASE e.escola</t>
  </si>
  <si>
    <t>Fonte: GGF/ME, – Relatórios de execução Nota: Não inclui os alunos do 1º Ciclo que constituem orçamental</t>
  </si>
  <si>
    <t>Nota: Não inclui os alunos do 1º Ciclo que constituem encargos das Autarquias, nem as despesas de transporte com os alunos dos 1º ao 9º Anos</t>
  </si>
  <si>
    <t>EDUCAÇÃO PRÉ-ESCOLAR</t>
  </si>
  <si>
    <t>ENSINOS BÁSICO E SECUNDÁRIO</t>
  </si>
  <si>
    <t>Notas: 2001 não inclui Ensino Superior; 2001 e 2009 - Dotações iniciais</t>
  </si>
  <si>
    <r>
      <t xml:space="preserve">Fonte: GGF/ME - </t>
    </r>
    <r>
      <rPr>
        <i/>
        <sz val="10"/>
        <color theme="1"/>
        <rFont val="Calibri"/>
        <family val="2"/>
        <scheme val="minor"/>
      </rPr>
      <t>Orçamento por Acções - Execução orçamental</t>
    </r>
    <r>
      <rPr>
        <sz val="10"/>
        <color theme="1"/>
        <rFont val="Calibri"/>
        <family val="2"/>
        <scheme val="minor"/>
      </rPr>
      <t xml:space="preserve"> 2001 – 2009</t>
    </r>
  </si>
  <si>
    <t>% = percentagem do Orçamento global do ME</t>
  </si>
  <si>
    <t>ACÇÕES 1.1.1 e 1.1.2</t>
  </si>
  <si>
    <t xml:space="preserve">ACÇÕES 1.2, 1.3 e 3. </t>
  </si>
  <si>
    <t>ENS. PARTICULAR E COOPERATIVO</t>
  </si>
  <si>
    <t>ESCOLAS PROFISSIONAIS</t>
  </si>
  <si>
    <t>FORMAÇÃO JOVENS/NOVAS OPORTUN.</t>
  </si>
  <si>
    <t>EDUCAÇÃO ADULTOS/NOVAS OPORTUN.</t>
  </si>
  <si>
    <t xml:space="preserve">Notas: 2001 não inclui Ensino Superior; 2001 e 2009 - Dotações iniciais; a partir de 2007 o Ensino Profissional e os CEF são considerados em “Formação de Jovens/Novas Oportunidades” </t>
  </si>
  <si>
    <t>ACÇÕES 2., 4. e 5.</t>
  </si>
  <si>
    <t>EDUCAÇÃO ESPECIAL</t>
  </si>
  <si>
    <t>ACÇÃO SOCIAL ESCOLAR</t>
  </si>
  <si>
    <t>COMPLEMENTOS EDUCATIVOS</t>
  </si>
  <si>
    <t>Percurso Escolar</t>
  </si>
  <si>
    <t>Série iniciada em 1994/95</t>
  </si>
  <si>
    <t>1º ano</t>
  </si>
  <si>
    <t>2º ano</t>
  </si>
  <si>
    <t>3º ano</t>
  </si>
  <si>
    <t>4º ano</t>
  </si>
  <si>
    <t>5º ano</t>
  </si>
  <si>
    <t>6º ano</t>
  </si>
  <si>
    <t>12º ano</t>
  </si>
  <si>
    <t>% em função do total de alunos de cada ano</t>
  </si>
  <si>
    <t>(1) Cálculo da % de H e de M considerando os valores de partida de cada categoria</t>
  </si>
  <si>
    <t>(2) Cálculo da % em função do total de alunos de cada ano</t>
  </si>
  <si>
    <t>% considerando os valores de partida de cada categoria</t>
  </si>
  <si>
    <t>Nota: Elaborado a partir da informação do número de alunos matriculados com a idade ideal de frequência em anos de estudo consecutivos</t>
  </si>
  <si>
    <t>1994/95</t>
  </si>
  <si>
    <t>“desvio etário” relativamente à idade “ideal” de frequência</t>
  </si>
  <si>
    <t xml:space="preserve">4º ano </t>
  </si>
  <si>
    <t>RECORRENTE (mais de 15 anos)</t>
  </si>
  <si>
    <t>RECORRENTE + NOCTURNO (mais de 15 anos)</t>
  </si>
  <si>
    <t>1 ano de desvio</t>
  </si>
  <si>
    <t>2 anos de desvio</t>
  </si>
  <si>
    <t>3 anos</t>
  </si>
  <si>
    <t>4 anos</t>
  </si>
  <si>
    <t>5 e + anos</t>
  </si>
  <si>
    <t>3 e + anos de desvio</t>
  </si>
  <si>
    <r>
      <t xml:space="preserve">total c/ </t>
    </r>
    <r>
      <rPr>
        <b/>
        <i/>
        <sz val="10"/>
        <color theme="4" tint="-0.249977111117893"/>
        <rFont val="Calibri"/>
        <family val="2"/>
      </rPr>
      <t>desvio etário</t>
    </r>
  </si>
  <si>
    <t>total matriculados</t>
  </si>
  <si>
    <t>1994/1995</t>
  </si>
  <si>
    <t xml:space="preserve"> Homens e Mulheres</t>
  </si>
  <si>
    <t>Pré- Escolar</t>
  </si>
  <si>
    <t>Ensino Básico</t>
  </si>
  <si>
    <t>Ensino Secund.</t>
  </si>
  <si>
    <t>1º ciclo</t>
  </si>
  <si>
    <t>2º ciclo</t>
  </si>
  <si>
    <t>3º ciclo</t>
  </si>
  <si>
    <t>2004/2005</t>
  </si>
  <si>
    <t>2007/2008</t>
  </si>
  <si>
    <t>Continente de Nacionalidade</t>
  </si>
  <si>
    <t>2008 *</t>
  </si>
  <si>
    <t>Europa</t>
  </si>
  <si>
    <t>África</t>
  </si>
  <si>
    <t>América</t>
  </si>
  <si>
    <t>Ásia</t>
  </si>
  <si>
    <t>Oceania</t>
  </si>
  <si>
    <t>Outros Países Ásia e Oceânia</t>
  </si>
  <si>
    <t>Apátridas e Desconhecida</t>
  </si>
  <si>
    <t>Fonte:Ministério da Administração Interna / Serviço de Estrangeiros e Fronteiras (MAI/SEF)</t>
  </si>
  <si>
    <t>* Dados disponíveis em Junho de 2009</t>
  </si>
  <si>
    <r>
      <t xml:space="preserve">Distribuição da População média activa nacional </t>
    </r>
    <r>
      <rPr>
        <sz val="10"/>
        <color theme="0"/>
        <rFont val="Calibri"/>
        <family val="2"/>
      </rPr>
      <t>[em milhares]</t>
    </r>
  </si>
  <si>
    <t>Ano de referência</t>
  </si>
  <si>
    <t xml:space="preserve"> Grupo etário</t>
  </si>
  <si>
    <t>Nenhum</t>
  </si>
  <si>
    <t>Básico - 1º e 2º Ciclos</t>
  </si>
  <si>
    <t>Básico - 3º Ciclo</t>
  </si>
  <si>
    <t>Secundário e pós-secundário</t>
  </si>
  <si>
    <t>Superior</t>
  </si>
  <si>
    <t>15 - 24 anos</t>
  </si>
  <si>
    <t>25 - 34 anos</t>
  </si>
  <si>
    <t>35 - 44 anos</t>
  </si>
  <si>
    <t>45 - 64 anos</t>
  </si>
  <si>
    <t>Fonte: População média activa por Grupo etário e Nível de escolaridade mais elevado completo; Anual - INE, Inquérito ao Emprego</t>
  </si>
  <si>
    <t>Última actualização: 12 de Março de 2010</t>
  </si>
  <si>
    <t>em milhares</t>
  </si>
  <si>
    <t>1º Ciclo</t>
  </si>
  <si>
    <t>2º Ciclo</t>
  </si>
  <si>
    <t>3º Ciclo</t>
  </si>
  <si>
    <t xml:space="preserve">População Activa </t>
  </si>
  <si>
    <t>População empregada</t>
  </si>
  <si>
    <t>% População Empregada</t>
  </si>
  <si>
    <t xml:space="preserve">% População Activa </t>
  </si>
  <si>
    <t>Fonte: INE, Inquérito ao Emprego (consultado em 24 de Julho de 2010)</t>
  </si>
  <si>
    <t>em %</t>
  </si>
  <si>
    <t>Níveis de qualificação da população activa com idade ≥ 15 anos</t>
  </si>
  <si>
    <t>UE 25</t>
  </si>
  <si>
    <t>qualificações baixas</t>
  </si>
  <si>
    <t>qualificações médias</t>
  </si>
  <si>
    <t>qualificações elevadas</t>
  </si>
  <si>
    <r>
      <t xml:space="preserve">Fonte: </t>
    </r>
    <r>
      <rPr>
        <i/>
        <sz val="10"/>
        <color rgb="FF000000"/>
        <rFont val="Calibri"/>
        <family val="2"/>
        <scheme val="minor"/>
      </rPr>
      <t>Future skill supply in Europe</t>
    </r>
    <r>
      <rPr>
        <sz val="10"/>
        <color rgb="FF000000"/>
        <rFont val="Calibri"/>
        <family val="2"/>
        <scheme val="minor"/>
      </rPr>
      <t xml:space="preserve"> (</t>
    </r>
    <r>
      <rPr>
        <i/>
        <sz val="10"/>
        <color rgb="FF000000"/>
        <rFont val="Calibri"/>
        <family val="2"/>
        <scheme val="minor"/>
      </rPr>
      <t>medium-term forecast up to 2020</t>
    </r>
    <r>
      <rPr>
        <sz val="10"/>
        <color rgb="FF000000"/>
        <rFont val="Calibri"/>
        <family val="2"/>
        <scheme val="minor"/>
      </rPr>
      <t>). CEDEFOP, 2009</t>
    </r>
  </si>
  <si>
    <t>Fonte: Carta Social, 2000; 2004, 2008; dados fornecidos pelo Gabinete da Secretária de Estado Adjunta e da Reabilitação (2010)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</si>
  <si>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</si>
  <si>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</si>
  <si>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</si>
  <si>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</si>
  <si>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</si>
  <si>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</si>
  <si>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</si>
  <si>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</si>
  <si>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</si>
  <si>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</si>
  <si>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</si>
  <si>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</si>
  <si>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</si>
  <si>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</si>
  <si>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</si>
  <si>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 astelo</t>
  </si>
  <si>
    <t>Vila Real</t>
  </si>
  <si>
    <t>Viseu</t>
  </si>
  <si>
    <t>Taxa de actividade por grupo etário e sexo</t>
  </si>
  <si>
    <t>Sexo</t>
  </si>
  <si>
    <t>Taxa de actividade</t>
  </si>
  <si>
    <t>Taxa de actividade (15 e mais anos)</t>
  </si>
  <si>
    <t>Dos 15 aos 24 anos</t>
  </si>
  <si>
    <t>Dos 25 aos 34 anos</t>
  </si>
  <si>
    <t>Dos 35 aos 44 anos</t>
  </si>
  <si>
    <t>Dos 45 aos 64 anos</t>
  </si>
  <si>
    <t>Com 65 e mais anos</t>
  </si>
  <si>
    <t>Dos 15 aos 64 anos</t>
  </si>
  <si>
    <t>Grupo de idade</t>
  </si>
  <si>
    <r>
      <t>Fonte:</t>
    </r>
    <r>
      <rPr>
        <sz val="10"/>
        <rFont val="Calibri"/>
        <family val="2"/>
      </rPr>
      <t xml:space="preserve"> INE, </t>
    </r>
    <r>
      <rPr>
        <i/>
        <sz val="10"/>
        <rFont val="Calibri"/>
        <family val="2"/>
      </rPr>
      <t xml:space="preserve">Estatísticas do Emprego </t>
    </r>
    <r>
      <rPr>
        <sz val="10"/>
        <rFont val="Calibri"/>
        <family val="2"/>
      </rPr>
      <t>(última actualização: 5 de Março de 2010)</t>
    </r>
  </si>
  <si>
    <t>NUTS II</t>
  </si>
  <si>
    <t>1995/96</t>
  </si>
  <si>
    <t>Norte</t>
  </si>
  <si>
    <t>Centro</t>
  </si>
  <si>
    <t>Lisboa e Vale do Tejo</t>
  </si>
  <si>
    <t>Alentejo</t>
  </si>
  <si>
    <t>Algarve</t>
  </si>
  <si>
    <t>R.A. Açores</t>
  </si>
  <si>
    <t>R.A. Madeira</t>
  </si>
  <si>
    <r>
      <t xml:space="preserve">Fonte: </t>
    </r>
    <r>
      <rPr>
        <i/>
        <sz val="10"/>
        <color theme="1"/>
        <rFont val="Calibri"/>
        <family val="2"/>
        <scheme val="minor"/>
      </rPr>
      <t>Estatísticas da Educação 1995/1996</t>
    </r>
    <r>
      <rPr>
        <sz val="10"/>
        <color theme="1"/>
        <rFont val="Calibri"/>
        <family val="2"/>
        <scheme val="minor"/>
      </rPr>
      <t xml:space="preserve">, p. 227. DAPP (1998);  </t>
    </r>
    <r>
      <rPr>
        <i/>
        <sz val="10"/>
        <color theme="1"/>
        <rFont val="Calibri"/>
        <family val="2"/>
        <scheme val="minor"/>
      </rPr>
      <t>Estatísticas da Educação</t>
    </r>
    <r>
      <rPr>
        <sz val="10"/>
        <color theme="1"/>
        <rFont val="Calibri"/>
        <family val="2"/>
        <scheme val="minor"/>
      </rPr>
      <t xml:space="preserve"> 2007/2008, p. 130. GEPE (2010)</t>
    </r>
  </si>
  <si>
    <t>Pré-escolarização</t>
  </si>
  <si>
    <t>1970/71</t>
  </si>
  <si>
    <t>1972/72</t>
  </si>
  <si>
    <t>1972/73</t>
  </si>
  <si>
    <t>1973/74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</si>
  <si>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</si>
  <si>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</si>
  <si>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</si>
  <si>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</si>
  <si>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</si>
  <si>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</si>
  <si>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</si>
  <si>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</si>
  <si>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</si>
  <si>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</si>
  <si>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</si>
  <si>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</si>
  <si>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</si>
  <si>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</si>
  <si>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</si>
  <si>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</si>
  <si>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</si>
  <si>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</si>
  <si>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</si>
  <si>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</si>
  <si>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1996/97</t>
  </si>
  <si>
    <t>1997/98</t>
  </si>
  <si>
    <t>1998/99</t>
  </si>
  <si>
    <t>5 anos</t>
  </si>
  <si>
    <t>4 e 5 anos</t>
  </si>
  <si>
    <r>
      <t xml:space="preserve">Fonte: </t>
    </r>
    <r>
      <rPr>
        <i/>
        <sz val="10"/>
        <color theme="1"/>
        <rFont val="Calibri"/>
        <family val="2"/>
        <scheme val="minor"/>
      </rPr>
      <t>50 anos de Estatísticas da Educação</t>
    </r>
    <r>
      <rPr>
        <sz val="10"/>
        <color theme="1"/>
        <rFont val="Calibri"/>
        <family val="2"/>
        <scheme val="minor"/>
      </rPr>
      <t xml:space="preserve">, Vol. I, 2009. GEPE-ME / INE; e dados fornecidos pelo GEPE - </t>
    </r>
    <r>
      <rPr>
        <i/>
        <sz val="10"/>
        <color theme="1"/>
        <rFont val="Calibri"/>
        <family val="2"/>
        <scheme val="minor"/>
      </rPr>
      <t>Gabinete  de Estatística e Planeamento da Educação</t>
    </r>
  </si>
  <si>
    <t>Rede</t>
  </si>
  <si>
    <t>TOTAL                    Público e Privado</t>
  </si>
  <si>
    <t>Rede do Ministério da Educação</t>
  </si>
  <si>
    <t>Outras Redes de outros Ministérios</t>
  </si>
  <si>
    <t xml:space="preserve">2006/07 </t>
  </si>
  <si>
    <t>Fonte: GEPE-ME / INE, 2009</t>
  </si>
  <si>
    <t>Idade</t>
  </si>
  <si>
    <t>DREAlg</t>
  </si>
  <si>
    <t>DREAle</t>
  </si>
  <si>
    <t>DRELVT</t>
  </si>
  <si>
    <t>DREC</t>
  </si>
  <si>
    <t>DREN</t>
  </si>
  <si>
    <t>TOTAL</t>
  </si>
  <si>
    <t>5 ou mais anos</t>
  </si>
  <si>
    <r>
      <t xml:space="preserve">Fonte: </t>
    </r>
    <r>
      <rPr>
        <i/>
        <sz val="10"/>
        <color theme="1"/>
        <rFont val="Calibri"/>
        <family val="2"/>
        <scheme val="minor"/>
      </rPr>
      <t>Organização do Ano Lectivo 2008-2009 – Relatório Nacional</t>
    </r>
    <r>
      <rPr>
        <sz val="10"/>
        <color theme="1"/>
        <rFont val="Calibri"/>
        <family val="2"/>
        <scheme val="minor"/>
      </rPr>
      <t>. IGE, Junho 2009</t>
    </r>
  </si>
  <si>
    <t>Ano Lectivo</t>
  </si>
  <si>
    <t>Total Básico</t>
  </si>
  <si>
    <t>Ensino Secundário</t>
  </si>
  <si>
    <t>1971/72</t>
  </si>
  <si>
    <t>Fonte: GEPE-ME / INE. 2009</t>
  </si>
  <si>
    <t>Ensino
Secundário</t>
  </si>
  <si>
    <t xml:space="preserve">2007/08 </t>
  </si>
  <si>
    <r>
      <t xml:space="preserve">Fonte: </t>
    </r>
    <r>
      <rPr>
        <i/>
        <sz val="10"/>
        <color theme="1"/>
        <rFont val="Calibri"/>
        <family val="2"/>
        <scheme val="minor"/>
      </rPr>
      <t>50 Anos de Estatísticas da Educação</t>
    </r>
    <r>
      <rPr>
        <sz val="10"/>
        <color theme="1"/>
        <rFont val="Calibri"/>
        <family val="2"/>
        <scheme val="minor"/>
      </rPr>
      <t>. GEPE-ME, 2009</t>
    </r>
  </si>
  <si>
    <t>Rede Pública</t>
  </si>
  <si>
    <t>Rede Privada</t>
  </si>
  <si>
    <t>2008/09</t>
  </si>
  <si>
    <t>Cursos Tecnológicos</t>
  </si>
  <si>
    <t>Ensino Artístico Especializado</t>
  </si>
  <si>
    <t xml:space="preserve">Cursos Profissionais – Nível 3 </t>
  </si>
  <si>
    <t>Cursos de Educação e Formação</t>
  </si>
  <si>
    <t>Cursos de Aprendizagem</t>
  </si>
  <si>
    <t>Cursos das Escolas de Hotelaria e Turismo</t>
  </si>
  <si>
    <r>
      <t xml:space="preserve">Fonte: </t>
    </r>
    <r>
      <rPr>
        <i/>
        <sz val="10"/>
        <color theme="1"/>
        <rFont val="Calibri"/>
        <family val="2"/>
        <scheme val="minor"/>
      </rPr>
      <t>Educação em Números. Portugal 2009</t>
    </r>
    <r>
      <rPr>
        <sz val="10"/>
        <color theme="1"/>
        <rFont val="Calibri"/>
        <family val="2"/>
        <scheme val="minor"/>
      </rPr>
      <t>. GEPE-ME; ANQ 2010</t>
    </r>
  </si>
  <si>
    <t>Cursos de Dupla Certificação</t>
  </si>
  <si>
    <t xml:space="preserve">Cursos Gerais/Científico-Humanísticos </t>
  </si>
  <si>
    <t>N.º alunos</t>
  </si>
  <si>
    <r>
      <t xml:space="preserve">Fonte: </t>
    </r>
    <r>
      <rPr>
        <i/>
        <sz val="10"/>
        <color theme="1"/>
        <rFont val="Calibri"/>
        <family val="2"/>
        <scheme val="minor"/>
      </rPr>
      <t>50 anos de Estatísticas da Educação</t>
    </r>
    <r>
      <rPr>
        <sz val="10"/>
        <color theme="1"/>
        <rFont val="Calibri"/>
        <family val="2"/>
        <scheme val="minor"/>
      </rPr>
      <t>. GEPE - ME / INE, 2009</t>
    </r>
  </si>
  <si>
    <t>Cursos Gerais</t>
  </si>
  <si>
    <t>Fonte: GEPE - ME / INE, 2009</t>
  </si>
  <si>
    <t>Fonte: GEPE-ME</t>
  </si>
  <si>
    <t>Fonte: GEPE / INE, 2009</t>
  </si>
  <si>
    <t>3.º Ciclo</t>
  </si>
  <si>
    <t>NUTs III</t>
  </si>
  <si>
    <t>Minho Lima</t>
  </si>
  <si>
    <t>Cávado</t>
  </si>
  <si>
    <t>Ave</t>
  </si>
  <si>
    <t>Grande Porto</t>
  </si>
  <si>
    <t>Tâmega</t>
  </si>
  <si>
    <t>Entre-o-Douro-e-Vouga</t>
  </si>
  <si>
    <t>Douro</t>
  </si>
  <si>
    <t>Alto Trás-os-Montes</t>
  </si>
  <si>
    <t>Baixo Vouga</t>
  </si>
  <si>
    <t>Baixo Mondego</t>
  </si>
  <si>
    <t>Pinhal Litoral</t>
  </si>
  <si>
    <t>Pinhal Interior Norte</t>
  </si>
  <si>
    <t>Dão Lafões</t>
  </si>
  <si>
    <t>Pinhal Interior Sul</t>
  </si>
  <si>
    <t>Serra da Estrela</t>
  </si>
  <si>
    <t>Beira Interior Norte</t>
  </si>
  <si>
    <t>Beira Interior Sul</t>
  </si>
  <si>
    <t>Cova da Beira</t>
  </si>
  <si>
    <t>Oeste</t>
  </si>
  <si>
    <t>Grande Lisboa</t>
  </si>
  <si>
    <t>Península de Setúbal</t>
  </si>
  <si>
    <t>Médio Tejo</t>
  </si>
  <si>
    <t>Lezíria do Tejo</t>
  </si>
  <si>
    <t>Alentejo Litoral</t>
  </si>
  <si>
    <t>Alto Alentejo</t>
  </si>
  <si>
    <t>Alentejo Central</t>
  </si>
  <si>
    <t>Baixo Alentejo</t>
  </si>
  <si>
    <t>Cursos Gerais e Tecnológicos</t>
  </si>
  <si>
    <t>ENSINO BÁSICO (TOTAL)</t>
  </si>
  <si>
    <t>Ano lectivo de ingresso</t>
  </si>
  <si>
    <t>PMCTN Rácio</t>
  </si>
  <si>
    <t>PMCTN %</t>
  </si>
  <si>
    <t>1º CICLO</t>
  </si>
  <si>
    <t>2º CICLO</t>
  </si>
  <si>
    <t>3º CICLO</t>
  </si>
  <si>
    <t>Ano lectivo final</t>
  </si>
  <si>
    <t>TRD%</t>
  </si>
  <si>
    <r>
      <t xml:space="preserve">Nota: Calculado a partir do </t>
    </r>
    <r>
      <rPr>
        <i/>
        <sz val="10"/>
        <color theme="1"/>
        <rFont val="Calibri"/>
        <family val="2"/>
        <scheme val="minor"/>
      </rPr>
      <t>indicador taxa de transição/conclusão</t>
    </r>
  </si>
  <si>
    <r>
      <t xml:space="preserve">Nota: </t>
    </r>
    <r>
      <rPr>
        <i/>
        <sz val="10"/>
        <color theme="1"/>
        <rFont val="Calibri"/>
        <family val="2"/>
        <scheme val="minor"/>
      </rPr>
      <t xml:space="preserve">Indicador taxa de retenção e desistência </t>
    </r>
  </si>
  <si>
    <t xml:space="preserve">Nota: </t>
  </si>
  <si>
    <t>Ver II.1.2</t>
  </si>
  <si>
    <t>Língua Portuguesa - 1º Ciclo</t>
  </si>
  <si>
    <t>Matemática - 1º Ciclo</t>
  </si>
  <si>
    <t>A+B</t>
  </si>
  <si>
    <t>C</t>
  </si>
  <si>
    <t>D+E</t>
  </si>
  <si>
    <t>Minho-Lima</t>
  </si>
  <si>
    <t>Entre Douro e Vouga</t>
  </si>
  <si>
    <t>Dão-Lafões</t>
  </si>
  <si>
    <t>Madeira</t>
  </si>
  <si>
    <t>Língua Portuguesa - 2.º Ciclo</t>
  </si>
  <si>
    <t>Matemática - 2.º Ciclo</t>
  </si>
  <si>
    <t>A</t>
  </si>
  <si>
    <t>B</t>
  </si>
  <si>
    <t>D</t>
  </si>
  <si>
    <t>E</t>
  </si>
  <si>
    <t>Região Autónoma da Madeira</t>
  </si>
  <si>
    <t>Nota: A,B,C,D e E - níveis de classificação de desempenho, sendo A o mais elevado e E o mais baixo</t>
  </si>
  <si>
    <t>Fonte: Provas de Aferição. JNE / GAVE, 2009</t>
  </si>
  <si>
    <t>Língua Portuguesa</t>
  </si>
  <si>
    <t>Matemática</t>
  </si>
  <si>
    <t>Fonte: Provas de Aferição. JNE / GAVE, 2008, 2009 e 2010</t>
  </si>
  <si>
    <t>Média dos níveis de classificação</t>
  </si>
  <si>
    <t>Médias das classificações</t>
  </si>
  <si>
    <t>Português</t>
  </si>
  <si>
    <t>Matemática A</t>
  </si>
  <si>
    <t>Biologia e Geologia</t>
  </si>
  <si>
    <t>Fonte: JNE - ME, 2005 a 2009</t>
  </si>
  <si>
    <t>Leitura</t>
  </si>
  <si>
    <t>Ciências</t>
  </si>
  <si>
    <t>Média EU</t>
  </si>
  <si>
    <r>
      <t xml:space="preserve">Fonte: </t>
    </r>
    <r>
      <rPr>
        <i/>
        <sz val="10"/>
        <color theme="1"/>
        <rFont val="Calibri"/>
        <family val="2"/>
        <scheme val="minor"/>
      </rPr>
      <t>DG Education and culture Data source: OECD PISA</t>
    </r>
    <r>
      <rPr>
        <sz val="10"/>
        <color theme="1"/>
        <rFont val="Calibri"/>
        <family val="2"/>
        <scheme val="minor"/>
      </rPr>
      <t xml:space="preserve"> 2000, 2003 e 2006</t>
    </r>
  </si>
  <si>
    <t>Açores</t>
  </si>
  <si>
    <t>Estatuto de imigração</t>
  </si>
  <si>
    <t>Nativos</t>
  </si>
  <si>
    <t>1ª geração</t>
  </si>
  <si>
    <t>2ª geração</t>
  </si>
  <si>
    <r>
      <t xml:space="preserve">Fonte: OCDE, </t>
    </r>
    <r>
      <rPr>
        <i/>
        <sz val="10"/>
        <color theme="1"/>
        <rFont val="Calibri"/>
        <family val="2"/>
        <scheme val="minor"/>
      </rPr>
      <t>Base de Dados do PISA</t>
    </r>
    <r>
      <rPr>
        <sz val="10"/>
        <color theme="1"/>
        <rFont val="Calibri"/>
        <family val="2"/>
        <scheme val="minor"/>
      </rPr>
      <t xml:space="preserve"> 2000 e 2006</t>
    </r>
  </si>
  <si>
    <t>Score</t>
  </si>
  <si>
    <t>Percentage of variance in performance in science explained by the PISA index of economic, social and cultural status (r-squared X 100)</t>
  </si>
  <si>
    <r>
      <t xml:space="preserve">Strength of the relationship between performance and socio-economic background </t>
    </r>
    <r>
      <rPr>
        <b/>
        <sz val="8"/>
        <rFont val="Calibri"/>
        <family val="2"/>
      </rPr>
      <t>above</t>
    </r>
    <r>
      <rPr>
        <sz val="8"/>
        <rFont val="Calibri"/>
        <family val="2"/>
      </rPr>
      <t xml:space="preserve"> the OECD average impact</t>
    </r>
  </si>
  <si>
    <r>
      <t xml:space="preserve">Strength of the relationship between performance and socio-economic background </t>
    </r>
    <r>
      <rPr>
        <b/>
        <sz val="8"/>
        <rFont val="Calibri"/>
        <family val="2"/>
      </rPr>
      <t>not statistically significantly</t>
    </r>
    <r>
      <rPr>
        <sz val="8"/>
        <rFont val="Calibri"/>
        <family val="2"/>
      </rPr>
      <t xml:space="preserve"> different from the OECD average impact</t>
    </r>
  </si>
  <si>
    <r>
      <t xml:space="preserve">Strength of the relationship between performance and socio-economic background </t>
    </r>
    <r>
      <rPr>
        <b/>
        <sz val="8"/>
        <rFont val="Calibri"/>
        <family val="2"/>
      </rPr>
      <t>below</t>
    </r>
    <r>
      <rPr>
        <sz val="8"/>
        <rFont val="Calibri"/>
        <family val="2"/>
      </rPr>
      <t xml:space="preserve"> the OECD average impact</t>
    </r>
  </si>
  <si>
    <r>
      <t>Note:</t>
    </r>
    <r>
      <rPr>
        <sz val="10"/>
        <rFont val="Calibri"/>
        <family val="2"/>
      </rPr>
      <t xml:space="preserve"> OECD mean used in this figure is the arithmetic average of all OECD countries.</t>
    </r>
  </si>
  <si>
    <t xml:space="preserve">http://www.oecd.org/document/2/0,3343,en_32252351_32236191_39718850_1_1_1_1,00.html#tables_figures_dbase </t>
  </si>
  <si>
    <r>
      <t xml:space="preserve">Fonte: </t>
    </r>
    <r>
      <rPr>
        <i/>
        <sz val="10"/>
        <rFont val="Calibri"/>
        <family val="2"/>
      </rPr>
      <t>PISA 2006: Science Competencies for Tomorrow’s World, Vol. 1</t>
    </r>
    <r>
      <rPr>
        <sz val="10"/>
        <rFont val="Calibri"/>
        <family val="2"/>
      </rPr>
      <t>. OECD 2007, p189, fig. 4.10</t>
    </r>
  </si>
  <si>
    <r>
      <t xml:space="preserve">Origem dos dados: base de dados </t>
    </r>
    <r>
      <rPr>
        <i/>
        <sz val="10"/>
        <color theme="1"/>
        <rFont val="Calibri"/>
        <family val="2"/>
        <scheme val="minor"/>
      </rPr>
      <t>online</t>
    </r>
    <r>
      <rPr>
        <sz val="10"/>
        <color theme="1"/>
        <rFont val="Calibri"/>
        <family val="2"/>
        <scheme val="minor"/>
      </rPr>
      <t>, Tabela 4.4a</t>
    </r>
  </si>
  <si>
    <t>Área Científica</t>
  </si>
  <si>
    <t xml:space="preserve">Ciências Empresariais </t>
  </si>
  <si>
    <t>Formação de Professores/Formadores e Ciências da Educação</t>
  </si>
  <si>
    <t xml:space="preserve">Ciências Sociais e do Comportamento </t>
  </si>
  <si>
    <t>Engenharia e Técnicas afins</t>
  </si>
  <si>
    <t xml:space="preserve">Saúde </t>
  </si>
  <si>
    <t>Humanidades</t>
  </si>
  <si>
    <t xml:space="preserve">Artes </t>
  </si>
  <si>
    <t>Ciências Físicas</t>
  </si>
  <si>
    <t xml:space="preserve">Serviços Pessoais </t>
  </si>
  <si>
    <t>Ciências da Vida</t>
  </si>
  <si>
    <t xml:space="preserve">Arquitectura e Construção </t>
  </si>
  <si>
    <t>Informática</t>
  </si>
  <si>
    <t>Outros</t>
  </si>
  <si>
    <t xml:space="preserve">Direito </t>
  </si>
  <si>
    <t>Indústrias Transformadoras</t>
  </si>
  <si>
    <t xml:space="preserve">Protecção do Ambiente </t>
  </si>
  <si>
    <t>Informação e Jornalismo</t>
  </si>
  <si>
    <t xml:space="preserve">Serviços de Segurança </t>
  </si>
  <si>
    <t>Matemática e Estatística</t>
  </si>
  <si>
    <t xml:space="preserve">Agricultura, Silvicultura e Pescas </t>
  </si>
  <si>
    <t>Serviços Sociais</t>
  </si>
  <si>
    <t xml:space="preserve">Ciências Veterinárias </t>
  </si>
  <si>
    <t>Serviços de Transporte</t>
  </si>
  <si>
    <t xml:space="preserve">Desenvolvimento Pessoal </t>
  </si>
  <si>
    <t>Distrito</t>
  </si>
  <si>
    <t>N.º Alunos</t>
  </si>
  <si>
    <t>Castelo Branco</t>
  </si>
  <si>
    <t>Viana do Castelo</t>
  </si>
  <si>
    <t>Nota: Não inclui os ciclos da Universidade Católica. Os ciclos de estudos com vagas para preparatórios e ministrados em associação por mais do que um estabelecimento de ensino foram contabilizados simultaneamente nos diferentes distritos em que surgem.</t>
  </si>
  <si>
    <t>Outros  15,47%</t>
  </si>
  <si>
    <r>
      <t xml:space="preserve">Fonte: </t>
    </r>
    <r>
      <rPr>
        <i/>
        <sz val="10"/>
        <color theme="1"/>
        <rFont val="Calibri"/>
        <family val="2"/>
        <scheme val="minor"/>
      </rPr>
      <t>Bolonha: Grandes Números – Estudo 2 – Distribuição por Áreas Científicas e Distritos, p. 11 e 12</t>
    </r>
    <r>
      <rPr>
        <sz val="10"/>
        <color theme="1"/>
        <rFont val="Calibri"/>
        <family val="2"/>
        <scheme val="minor"/>
      </rPr>
      <t>. DGES - MCTES, Fev 2010</t>
    </r>
  </si>
  <si>
    <t>Universitário</t>
  </si>
  <si>
    <t>Politécnico</t>
  </si>
  <si>
    <t>Fonte: GPEARI - MCTES</t>
  </si>
  <si>
    <r>
      <t xml:space="preserve">Fonte: </t>
    </r>
    <r>
      <rPr>
        <i/>
        <sz val="10"/>
        <color theme="1"/>
        <rFont val="Calibri"/>
        <family val="2"/>
        <scheme val="minor"/>
      </rPr>
      <t>RAIDES Inquérito ao Registo de Alunos Inscritos e Diplomados do Ensino Superior</t>
    </r>
    <r>
      <rPr>
        <sz val="10"/>
        <color theme="1"/>
        <rFont val="Calibri"/>
        <family val="2"/>
        <scheme val="minor"/>
      </rPr>
      <t>. GPEARI - MCTES, 2009</t>
    </r>
  </si>
  <si>
    <t>Sector institucional</t>
  </si>
  <si>
    <r>
      <t xml:space="preserve">Fonte: </t>
    </r>
    <r>
      <rPr>
        <i/>
        <sz val="10"/>
        <color theme="1"/>
        <rFont val="Calibri"/>
        <family val="2"/>
        <scheme val="minor"/>
      </rPr>
      <t>Vagas e Inscritos no Ensino Superior</t>
    </r>
    <r>
      <rPr>
        <sz val="10"/>
        <color theme="1"/>
        <rFont val="Calibri"/>
        <family val="2"/>
        <scheme val="minor"/>
      </rPr>
      <t>. GPEARI - MCTES, 2010</t>
    </r>
  </si>
  <si>
    <t>ACESSO AO ENSINO SUPERIOR Público</t>
  </si>
  <si>
    <t>Candidatos válidos</t>
  </si>
  <si>
    <t>Vagas iniciais</t>
  </si>
  <si>
    <t>Colocados</t>
  </si>
  <si>
    <r>
      <t xml:space="preserve">Fonte: </t>
    </r>
    <r>
      <rPr>
        <i/>
        <sz val="10"/>
        <color theme="1"/>
        <rFont val="Calibri"/>
        <family val="2"/>
        <scheme val="minor"/>
      </rPr>
      <t>Estatísticas do Ensino Superior</t>
    </r>
    <r>
      <rPr>
        <sz val="10"/>
        <color theme="1"/>
        <rFont val="Calibri"/>
        <family val="2"/>
        <scheme val="minor"/>
      </rPr>
      <t>. DGES - MCTES</t>
    </r>
  </si>
  <si>
    <t>Subsistemas de ensino</t>
  </si>
  <si>
    <t xml:space="preserve">Ensino Superior Público </t>
  </si>
  <si>
    <t xml:space="preserve"> Universitário</t>
  </si>
  <si>
    <t>a)</t>
  </si>
  <si>
    <t xml:space="preserve"> Politécnico </t>
  </si>
  <si>
    <t>b)</t>
  </si>
  <si>
    <t xml:space="preserve">Ensino Superior Privado </t>
  </si>
  <si>
    <t>a) Inclui todos graus e diplomas conferidos por estabelecimentos de ensino superior (desde que tenham duração igual ou superior a 2 semestres e 60 ECTS ou 300 horas e sejam sujeitos a avaliação no final da formação) excepto Diplomas de Especialização Tecnológica.</t>
  </si>
  <si>
    <t>b) O Ensino Universitário inclui instituições não integradas em universidades.</t>
  </si>
  <si>
    <t>c) O Ensino Politécnico inclui instituições não integradas em institutos politécnicos e unidades orgânicas de ensino politécnico integradas em universidades.</t>
  </si>
  <si>
    <r>
      <t xml:space="preserve">Fonte: </t>
    </r>
    <r>
      <rPr>
        <i/>
        <sz val="10"/>
        <color theme="1"/>
        <rFont val="Calibri"/>
        <family val="2"/>
        <scheme val="minor"/>
      </rPr>
      <t>Inquérito ao Registo de Alunos Inscritos e Diplomados do Ensino Superior</t>
    </r>
    <r>
      <rPr>
        <sz val="10"/>
        <color theme="1"/>
        <rFont val="Calibri"/>
        <family val="2"/>
        <scheme val="minor"/>
      </rPr>
      <t>. GPEARI - MCTES</t>
    </r>
  </si>
  <si>
    <t>1997-1998</t>
  </si>
  <si>
    <t>2008-2009</t>
  </si>
  <si>
    <t>Total inscritos</t>
  </si>
  <si>
    <t>População residente</t>
  </si>
  <si>
    <t>% de estudantes</t>
  </si>
  <si>
    <t>18 anos</t>
  </si>
  <si>
    <t>19 anos</t>
  </si>
  <si>
    <t>20 anos</t>
  </si>
  <si>
    <t>21 anos</t>
  </si>
  <si>
    <t>22 anos</t>
  </si>
  <si>
    <t>23 anos</t>
  </si>
  <si>
    <t>24 anos</t>
  </si>
  <si>
    <t>Fonte: GPEARI – MCTES</t>
  </si>
  <si>
    <t>Nota: O número de alunos inscritos com 17 anos são incluídos nos alunos inscritos com 18 anos</t>
  </si>
  <si>
    <t>Inclui CET</t>
  </si>
  <si>
    <t>Masculino</t>
  </si>
  <si>
    <t>Feminino</t>
  </si>
  <si>
    <t>a) Inclui instituições não integradas em universidades</t>
  </si>
  <si>
    <t>b) Inclui instituições não integradas em institutos politécnicos e unidades orgânicas de ensino politécnico integradas em universidades.</t>
  </si>
  <si>
    <t xml:space="preserve">Inclui todas as formações ministradas em estabelecimentos de ensino superior (desde que tenham duração igual ou superior a 2 semestres e 60 ECTS ou 300 horas e sejam sujeitas </t>
  </si>
  <si>
    <t>a avaliação no final da formação) excepto Cursos de Especialização Tecnológica e estudantes apenas a elaborar dissertação de mestrado</t>
  </si>
  <si>
    <t>Área de educação e formação</t>
  </si>
  <si>
    <t>Artes e Humanidades</t>
  </si>
  <si>
    <t>Ciências Sociais, Comércio e Direito</t>
  </si>
  <si>
    <t>Ciências, Matemática e Informática</t>
  </si>
  <si>
    <t>Engenharia, Indústrias Transformadoras e Construção</t>
  </si>
  <si>
    <t>Agricultura</t>
  </si>
  <si>
    <t>Saúde e Protecção Social</t>
  </si>
  <si>
    <t>Serviços</t>
  </si>
  <si>
    <t>Inscritos com as provas &gt; 23 anos</t>
  </si>
  <si>
    <t>Nota: Os dados apresentados referem-se ao ano lectivo que termina nesse ano</t>
  </si>
  <si>
    <t>Fonte: DGES - MCTES, 2010</t>
  </si>
  <si>
    <t>Áreas de educação e formação</t>
  </si>
  <si>
    <t>Educação</t>
  </si>
  <si>
    <t>a avaliação no final da formação) excepto Diplomas de Especialização Tecnológica</t>
  </si>
  <si>
    <t xml:space="preserve">Nota: Inclui todos graus e diplomas conferidos por estabelecimentos de ensino superior (desde que tenham duração igual ou superior a 2 semestres e 60 ECTS ou 300 horas e sejam sujeitos </t>
  </si>
  <si>
    <t>Grau académico</t>
  </si>
  <si>
    <t>Doutoramento/
Mestrado</t>
  </si>
  <si>
    <t>Licenciatura ou Equiparado</t>
  </si>
  <si>
    <t>Bacharelato/
Outras</t>
  </si>
  <si>
    <t>Licenciatura ou
Equiparado</t>
  </si>
  <si>
    <r>
      <t xml:space="preserve">Fonte: </t>
    </r>
    <r>
      <rPr>
        <i/>
        <sz val="10"/>
        <color theme="1"/>
        <rFont val="Calibri"/>
        <family val="2"/>
        <scheme val="minor"/>
      </rPr>
      <t>50 anos de estatísticas da Educação, Vol. III</t>
    </r>
    <r>
      <rPr>
        <sz val="10"/>
        <color theme="1"/>
        <rFont val="Calibri"/>
        <family val="2"/>
        <scheme val="minor"/>
      </rPr>
      <t>. GEPE - ME / INE, 2009</t>
    </r>
  </si>
  <si>
    <r>
      <t>&lt;</t>
    </r>
    <r>
      <rPr>
        <b/>
        <sz val="10"/>
        <rFont val="Calibri"/>
        <family val="2"/>
      </rPr>
      <t xml:space="preserve"> 24</t>
    </r>
  </si>
  <si>
    <t>25-29</t>
  </si>
  <si>
    <t>30-34</t>
  </si>
  <si>
    <t>35-39</t>
  </si>
  <si>
    <t>40-44</t>
  </si>
  <si>
    <t>45-49</t>
  </si>
  <si>
    <t>50-54</t>
  </si>
  <si>
    <t>55-59</t>
  </si>
  <si>
    <r>
      <t>&gt;</t>
    </r>
    <r>
      <rPr>
        <b/>
        <sz val="10"/>
        <rFont val="Calibri"/>
        <family val="2"/>
      </rPr>
      <t xml:space="preserve"> 60</t>
    </r>
  </si>
  <si>
    <t>Educação Pré-escolar</t>
  </si>
  <si>
    <t>Nota: Valores não disponíveis entre 1977/78 e 1996/1997</t>
  </si>
  <si>
    <t>Número de docentes em exercício nos 2º e 3º ciclos do ensino básico e no ensino secundário, segundo o grau académico, no Continente (1998/1999 a 2007/08)</t>
  </si>
  <si>
    <t>Doutoramento/                 Mestrado</t>
  </si>
  <si>
    <t>Bacharelato/             Outras</t>
  </si>
  <si>
    <t>Natureza institucional</t>
  </si>
  <si>
    <r>
      <t xml:space="preserve">Fonte: </t>
    </r>
    <r>
      <rPr>
        <i/>
        <sz val="10"/>
        <color theme="1"/>
        <rFont val="Calibri"/>
        <family val="2"/>
        <scheme val="minor"/>
      </rPr>
      <t>Inquérito ao Registo Biográfico de Docentes do Ensino Superior</t>
    </r>
    <r>
      <rPr>
        <sz val="10"/>
        <color theme="1"/>
        <rFont val="Calibri"/>
        <family val="2"/>
        <scheme val="minor"/>
      </rPr>
      <t xml:space="preserve"> (REBIDES). GPEARI - MCTES (PORDATA; actualização: 22.02.2010)</t>
    </r>
  </si>
  <si>
    <t xml:space="preserve">Doutor </t>
  </si>
  <si>
    <t>Mestre</t>
  </si>
  <si>
    <t>Licenciado</t>
  </si>
  <si>
    <t>Bacharel</t>
  </si>
  <si>
    <t>Outro</t>
  </si>
  <si>
    <t>2006/2007</t>
  </si>
  <si>
    <t>2008/2009</t>
  </si>
  <si>
    <t>NUT II</t>
  </si>
  <si>
    <t>Fonte: GEPE - ME</t>
  </si>
  <si>
    <t>Total acumulado</t>
  </si>
  <si>
    <t>DREA</t>
  </si>
  <si>
    <t>DREALG</t>
  </si>
  <si>
    <t>Fonte: Gabinete RBE, 2010</t>
  </si>
  <si>
    <t>Ciclo/Nível de Ensino</t>
  </si>
  <si>
    <t xml:space="preserve">Secundário </t>
  </si>
  <si>
    <t>2º e 3º ciclos</t>
  </si>
  <si>
    <t>DRE's</t>
  </si>
  <si>
    <t>Nota: Desde o início do programa 70 escolas foram entretanto encerradas ou objecto de fusão.</t>
  </si>
  <si>
    <t>Alunos / Computador</t>
  </si>
  <si>
    <t xml:space="preserve">    </t>
  </si>
  <si>
    <t xml:space="preserve">Total     </t>
  </si>
  <si>
    <t xml:space="preserve">Público     </t>
  </si>
  <si>
    <t xml:space="preserve">1º ciclo do ensino básico     </t>
  </si>
  <si>
    <t xml:space="preserve">2º ciclo do ensino básico     </t>
  </si>
  <si>
    <t xml:space="preserve">3º ciclo do ensino básico    </t>
  </si>
  <si>
    <t xml:space="preserve">Ensino secundário     </t>
  </si>
  <si>
    <t xml:space="preserve">Privado     </t>
  </si>
  <si>
    <t xml:space="preserve">Escolas públicas do 5º ao 12º ano     </t>
  </si>
  <si>
    <r>
      <t xml:space="preserve">Fonte: </t>
    </r>
    <r>
      <rPr>
        <i/>
        <sz val="10"/>
        <color theme="1"/>
        <rFont val="Calibri"/>
        <family val="2"/>
        <scheme val="minor"/>
      </rPr>
      <t>Modernização Tecnológica das Escolas 2007-08</t>
    </r>
    <r>
      <rPr>
        <sz val="10"/>
        <color theme="1"/>
        <rFont val="Calibri"/>
        <family val="2"/>
        <scheme val="minor"/>
      </rPr>
      <t>. GEPE - ME</t>
    </r>
  </si>
  <si>
    <r>
      <t xml:space="preserve">Fonte: EUROSTAT, UOE e Contas nacionais (dados extraídos em Junho de 2009); </t>
    </r>
    <r>
      <rPr>
        <i/>
        <sz val="10"/>
        <color theme="1"/>
        <rFont val="Calibri"/>
        <family val="2"/>
        <scheme val="minor"/>
      </rPr>
      <t>Chiffres clés de l’éducation en Europe 2009</t>
    </r>
    <r>
      <rPr>
        <sz val="10"/>
        <color theme="1"/>
        <rFont val="Calibri"/>
        <family val="2"/>
        <scheme val="minor"/>
      </rPr>
      <t>. EURYDICE, p. 127, Figure D5</t>
    </r>
  </si>
  <si>
    <t>(milhares de euros e % do PIB)</t>
  </si>
  <si>
    <r>
      <t xml:space="preserve">Fontes:        Despesa ME: </t>
    </r>
    <r>
      <rPr>
        <i/>
        <sz val="10"/>
        <color theme="1"/>
        <rFont val="Calibri"/>
        <family val="2"/>
        <scheme val="minor"/>
      </rPr>
      <t>Relatórios de Execução Orçamental</t>
    </r>
    <r>
      <rPr>
        <sz val="10"/>
        <color theme="1"/>
        <rFont val="Calibri"/>
        <family val="2"/>
        <scheme val="minor"/>
      </rPr>
      <t>. GGF/ME</t>
    </r>
  </si>
</sst>
</file>

<file path=xl/styles.xml><?xml version="1.0" encoding="utf-8"?>
<styleSheet xmlns="http://schemas.openxmlformats.org/spreadsheetml/2006/main">
  <numFmts count="18">
    <numFmt numFmtId="44" formatCode="_-* #,##0.00\ &quot;€&quot;_-;\-* #,##0.00\ &quot;€&quot;_-;_-* &quot;-&quot;??\ &quot;€&quot;_-;_-@_-"/>
    <numFmt numFmtId="164" formatCode="#\ ###\ ##0"/>
    <numFmt numFmtId="165" formatCode="#\ ##0"/>
    <numFmt numFmtId="166" formatCode="0.0%"/>
    <numFmt numFmtId="167" formatCode="0.0"/>
    <numFmt numFmtId="168" formatCode="#\ ##0.0"/>
    <numFmt numFmtId="169" formatCode="\ ###\ ###\ ##0.00"/>
    <numFmt numFmtId="170" formatCode="#\ ##0.00"/>
    <numFmt numFmtId="171" formatCode="0.000%"/>
    <numFmt numFmtId="172" formatCode="###\ ###\ ###\ ##0"/>
    <numFmt numFmtId="173" formatCode="###\ ###\ ##0"/>
    <numFmt numFmtId="174" formatCode="###\ ##0"/>
    <numFmt numFmtId="175" formatCode="#,##0.0"/>
    <numFmt numFmtId="176" formatCode="#\ ###\ ###"/>
    <numFmt numFmtId="177" formatCode="#\ ##0\ 000"/>
    <numFmt numFmtId="178" formatCode="0.000"/>
    <numFmt numFmtId="179" formatCode="##\ ###\ ##0"/>
    <numFmt numFmtId="180" formatCode="#\ ###"/>
  </numFmts>
  <fonts count="13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theme="8" tint="-0.249977111117893"/>
      <name val="Calibri"/>
      <family val="2"/>
    </font>
    <font>
      <u/>
      <sz val="11"/>
      <color indexed="12"/>
      <name val="Calibri"/>
      <family val="2"/>
    </font>
    <font>
      <u/>
      <sz val="8"/>
      <color indexed="12"/>
      <name val="Calibri"/>
      <family val="2"/>
    </font>
    <font>
      <i/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color rgb="FF000000"/>
      <name val="Calibri"/>
      <family val="2"/>
    </font>
    <font>
      <b/>
      <vertAlign val="superscript"/>
      <sz val="10"/>
      <name val="Calibri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</font>
    <font>
      <vertAlign val="superscript"/>
      <sz val="8"/>
      <color theme="1"/>
      <name val="Calibri"/>
      <family val="2"/>
    </font>
    <font>
      <b/>
      <sz val="11"/>
      <color theme="0"/>
      <name val="Calibri"/>
      <family val="2"/>
    </font>
    <font>
      <sz val="11"/>
      <name val="Arial"/>
      <family val="2"/>
    </font>
    <font>
      <sz val="10"/>
      <color indexed="57"/>
      <name val="Calibri"/>
      <family val="2"/>
    </font>
    <font>
      <b/>
      <sz val="9"/>
      <name val="Calibri"/>
      <family val="2"/>
    </font>
    <font>
      <i/>
      <sz val="10"/>
      <name val="Calibri"/>
      <family val="2"/>
    </font>
    <font>
      <b/>
      <sz val="10"/>
      <color indexed="9"/>
      <name val="Calibri"/>
      <family val="2"/>
    </font>
    <font>
      <sz val="10"/>
      <name val="MS Sans Serif"/>
      <family val="2"/>
    </font>
    <font>
      <b/>
      <sz val="9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theme="0"/>
      <name val="Symbol"/>
      <family val="1"/>
      <charset val="2"/>
    </font>
    <font>
      <b/>
      <sz val="8"/>
      <color theme="0"/>
      <name val="Calibri"/>
      <family val="2"/>
      <scheme val="minor"/>
    </font>
    <font>
      <sz val="9"/>
      <color theme="3"/>
      <name val="Symbol"/>
      <family val="1"/>
      <charset val="2"/>
    </font>
    <font>
      <b/>
      <sz val="10"/>
      <color theme="9" tint="-0.499984740745262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9"/>
      <name val="Calibri"/>
      <family val="2"/>
    </font>
    <font>
      <sz val="10"/>
      <color theme="0"/>
      <name val="Calibri"/>
      <family val="2"/>
    </font>
    <font>
      <b/>
      <sz val="8"/>
      <color theme="0"/>
      <name val="Calibri"/>
      <family val="2"/>
    </font>
    <font>
      <sz val="8"/>
      <name val="Arial"/>
      <family val="2"/>
    </font>
    <font>
      <i/>
      <sz val="8"/>
      <name val="Arial"/>
      <family val="2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name val="Calibri"/>
      <family val="2"/>
    </font>
    <font>
      <b/>
      <sz val="12"/>
      <color rgb="FF00B050"/>
      <name val="Calibri"/>
      <family val="2"/>
    </font>
    <font>
      <b/>
      <sz val="12"/>
      <color indexed="5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i/>
      <sz val="10"/>
      <color indexed="56"/>
      <name val="Calibri"/>
      <family val="2"/>
    </font>
    <font>
      <b/>
      <i/>
      <sz val="10"/>
      <name val="Calibri"/>
      <family val="2"/>
    </font>
    <font>
      <i/>
      <sz val="10"/>
      <color indexed="56"/>
      <name val="Calibri"/>
      <family val="2"/>
    </font>
    <font>
      <b/>
      <sz val="10"/>
      <color theme="4" tint="-0.249977111117893"/>
      <name val="Calibri"/>
      <family val="2"/>
    </font>
    <font>
      <b/>
      <i/>
      <sz val="10"/>
      <color theme="4" tint="-0.249977111117893"/>
      <name val="Calibri"/>
      <family val="2"/>
    </font>
    <font>
      <b/>
      <sz val="10"/>
      <color theme="4"/>
      <name val="Calibri"/>
      <family val="2"/>
    </font>
    <font>
      <b/>
      <sz val="10"/>
      <color theme="8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</font>
    <font>
      <b/>
      <sz val="9"/>
      <color indexed="9"/>
      <name val="Calibri"/>
      <family val="2"/>
    </font>
    <font>
      <b/>
      <sz val="9"/>
      <color indexed="18"/>
      <name val="Calibri"/>
      <family val="2"/>
    </font>
    <font>
      <sz val="9"/>
      <name val="Calibri"/>
      <family val="2"/>
    </font>
    <font>
      <sz val="10"/>
      <color indexed="63"/>
      <name val="Calibri"/>
      <family val="2"/>
    </font>
    <font>
      <i/>
      <sz val="8"/>
      <name val="Calibri"/>
      <family val="2"/>
    </font>
    <font>
      <b/>
      <sz val="8"/>
      <color indexed="54"/>
      <name val="Tahoma"/>
      <family val="2"/>
    </font>
    <font>
      <sz val="10"/>
      <color indexed="54"/>
      <name val="Calibri"/>
      <family val="2"/>
    </font>
    <font>
      <sz val="8"/>
      <color indexed="54"/>
      <name val="Tahoma"/>
      <family val="2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b/>
      <sz val="8"/>
      <name val="Arial"/>
      <family val="2"/>
    </font>
    <font>
      <sz val="10"/>
      <color indexed="11"/>
      <name val="Arial"/>
      <family val="2"/>
    </font>
    <font>
      <b/>
      <sz val="8"/>
      <color theme="8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FFFFFF"/>
      <name val="Calibri"/>
      <family val="2"/>
    </font>
    <font>
      <sz val="8"/>
      <name val="Arial Narrow"/>
      <family val="2"/>
    </font>
    <font>
      <b/>
      <i/>
      <sz val="10"/>
      <color theme="0"/>
      <name val="Calibri"/>
      <family val="2"/>
    </font>
    <font>
      <i/>
      <sz val="1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u/>
      <sz val="10"/>
      <color indexed="12"/>
      <name val="Calibri"/>
      <family val="2"/>
    </font>
    <font>
      <b/>
      <i/>
      <sz val="10"/>
      <color theme="0"/>
      <name val="Calibri"/>
      <family val="2"/>
      <scheme val="minor"/>
    </font>
    <font>
      <sz val="10"/>
      <color indexed="9"/>
      <name val="Calibri"/>
      <family val="2"/>
    </font>
    <font>
      <sz val="10"/>
      <color indexed="8"/>
      <name val="MS Sans Serif"/>
      <family val="2"/>
    </font>
    <font>
      <i/>
      <sz val="8"/>
      <color indexed="8"/>
      <name val="Calibri"/>
      <family val="2"/>
    </font>
    <font>
      <b/>
      <sz val="10"/>
      <color indexed="16"/>
      <name val="Calibri"/>
      <family val="2"/>
    </font>
    <font>
      <sz val="11"/>
      <color indexed="8"/>
      <name val="Calibri"/>
      <family val="2"/>
    </font>
    <font>
      <b/>
      <i/>
      <sz val="10"/>
      <color indexed="8"/>
      <name val="Calibri"/>
      <family val="2"/>
    </font>
    <font>
      <b/>
      <u/>
      <sz val="10"/>
      <name val="Calibri"/>
      <family val="2"/>
    </font>
    <font>
      <b/>
      <sz val="8"/>
      <color indexed="9"/>
      <name val="Arial Narrow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color rgb="FF333333"/>
      <name val="Calibri"/>
      <family val="2"/>
    </font>
    <font>
      <sz val="9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4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A024E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DE2A00"/>
        <bgColor indexed="64"/>
      </patternFill>
    </fill>
    <fill>
      <patternFill patternType="solid">
        <fgColor rgb="FFEE8E00"/>
        <bgColor indexed="64"/>
      </patternFill>
    </fill>
    <fill>
      <patternFill patternType="solid">
        <fgColor rgb="FFA2B628"/>
        <bgColor indexed="64"/>
      </patternFill>
    </fill>
    <fill>
      <patternFill patternType="solid">
        <fgColor rgb="FFCFDC22"/>
        <bgColor indexed="64"/>
      </patternFill>
    </fill>
    <fill>
      <patternFill patternType="solid">
        <fgColor rgb="FF00AC00"/>
        <bgColor indexed="64"/>
      </patternFill>
    </fill>
    <fill>
      <patternFill patternType="solid">
        <fgColor rgb="FF37A76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mediumGray"/>
    </fill>
    <fill>
      <patternFill patternType="solid">
        <fgColor rgb="FFE4EBF4"/>
        <bgColor indexed="64"/>
      </patternFill>
    </fill>
    <fill>
      <patternFill patternType="solid">
        <fgColor rgb="FFCCD4E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34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theme="0"/>
      </right>
      <top style="medium">
        <color rgb="FFFFFFFF"/>
      </top>
      <bottom style="dotted">
        <color indexed="64"/>
      </bottom>
      <diagonal/>
    </border>
    <border>
      <left style="medium">
        <color theme="0"/>
      </left>
      <right style="medium">
        <color theme="0"/>
      </right>
      <top style="medium">
        <color rgb="FFFFFFFF"/>
      </top>
      <bottom style="dotted">
        <color indexed="64"/>
      </bottom>
      <diagonal/>
    </border>
    <border>
      <left style="medium">
        <color theme="0"/>
      </left>
      <right/>
      <top style="medium">
        <color rgb="FFFFFFFF"/>
      </top>
      <bottom style="dotted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theme="0"/>
      </top>
      <bottom/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thin">
        <color theme="4" tint="0.79998168889431442"/>
      </left>
      <right/>
      <top/>
      <bottom/>
      <diagonal/>
    </border>
    <border>
      <left/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79998168889431442"/>
      </right>
      <top/>
      <bottom/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4" tint="0.79998168889431442"/>
      </top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/>
      </left>
      <right style="thin">
        <color theme="3"/>
      </right>
      <top style="thin">
        <color theme="0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0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3"/>
      </top>
      <bottom style="thin">
        <color theme="3"/>
      </bottom>
      <diagonal/>
    </border>
    <border>
      <left style="thin">
        <color theme="4" tint="-0.24994659260841701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4" tint="-0.24994659260841701"/>
      </right>
      <top style="thin">
        <color theme="3"/>
      </top>
      <bottom style="thin">
        <color theme="3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/>
      </left>
      <right/>
      <top style="thin">
        <color theme="4"/>
      </top>
      <bottom style="thin">
        <color theme="0"/>
      </bottom>
      <diagonal/>
    </border>
    <border>
      <left style="thin">
        <color theme="2"/>
      </left>
      <right style="thin">
        <color theme="2"/>
      </right>
      <top/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/>
      <top/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/>
      </right>
      <top/>
      <bottom/>
      <diagonal/>
    </border>
    <border>
      <left style="thin">
        <color theme="2" tint="-9.9948118533890809E-2"/>
      </left>
      <right/>
      <top/>
      <bottom style="thin">
        <color theme="2" tint="-9.9948118533890809E-2"/>
      </bottom>
      <diagonal/>
    </border>
    <border>
      <left/>
      <right/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2" tint="-9.9948118533890809E-2"/>
      </right>
      <top style="thin">
        <color theme="0"/>
      </top>
      <bottom/>
      <diagonal/>
    </border>
    <border>
      <left style="thin">
        <color theme="0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/>
      </right>
      <top/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/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4" tint="0.59996337778862885"/>
      </left>
      <right/>
      <top/>
      <bottom/>
      <diagonal/>
    </border>
    <border>
      <left/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 style="thin">
        <color theme="3" tint="0.79998168889431442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/>
      <top/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double">
        <color indexed="63"/>
      </left>
      <right style="thin">
        <color indexed="64"/>
      </right>
      <top style="double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double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3"/>
      </right>
      <top style="double">
        <color indexed="63"/>
      </top>
      <bottom style="thin">
        <color indexed="63"/>
      </bottom>
      <diagonal/>
    </border>
    <border>
      <left style="double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double">
        <color indexed="63"/>
      </right>
      <top/>
      <bottom style="thin">
        <color indexed="63"/>
      </bottom>
      <diagonal/>
    </border>
    <border>
      <left style="double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double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thin">
        <color indexed="63"/>
      </right>
      <top style="thin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3"/>
      </bottom>
      <diagonal/>
    </border>
    <border>
      <left style="thin">
        <color indexed="63"/>
      </left>
      <right style="double">
        <color indexed="63"/>
      </right>
      <top style="thin">
        <color indexed="63"/>
      </top>
      <bottom style="double">
        <color indexed="63"/>
      </bottom>
      <diagonal/>
    </border>
    <border>
      <left style="double">
        <color indexed="64"/>
      </left>
      <right style="thin">
        <color indexed="23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55"/>
      </bottom>
      <diagonal/>
    </border>
    <border>
      <left style="double">
        <color indexed="64"/>
      </left>
      <right/>
      <top style="double">
        <color indexed="64"/>
      </top>
      <bottom style="hair">
        <color indexed="55"/>
      </bottom>
      <diagonal/>
    </border>
    <border>
      <left/>
      <right style="double">
        <color indexed="64"/>
      </right>
      <top style="double">
        <color indexed="64"/>
      </top>
      <bottom style="hair">
        <color indexed="55"/>
      </bottom>
      <diagonal/>
    </border>
    <border>
      <left/>
      <right style="double">
        <color indexed="23"/>
      </right>
      <top style="double">
        <color indexed="64"/>
      </top>
      <bottom style="hair">
        <color indexed="55"/>
      </bottom>
      <diagonal/>
    </border>
    <border>
      <left style="double">
        <color indexed="64"/>
      </left>
      <right style="thin">
        <color indexed="23"/>
      </right>
      <top/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double">
        <color indexed="64"/>
      </left>
      <right/>
      <top style="hair">
        <color indexed="55"/>
      </top>
      <bottom style="hair">
        <color indexed="55"/>
      </bottom>
      <diagonal/>
    </border>
    <border>
      <left/>
      <right style="double">
        <color indexed="64"/>
      </right>
      <top style="hair">
        <color indexed="55"/>
      </top>
      <bottom style="hair">
        <color indexed="55"/>
      </bottom>
      <diagonal/>
    </border>
    <border>
      <left/>
      <right style="double">
        <color indexed="23"/>
      </right>
      <top style="hair">
        <color indexed="55"/>
      </top>
      <bottom style="hair">
        <color indexed="55"/>
      </bottom>
      <diagonal/>
    </border>
    <border>
      <left style="double">
        <color indexed="64"/>
      </left>
      <right style="thin">
        <color indexed="23"/>
      </right>
      <top/>
      <bottom style="thin">
        <color indexed="9"/>
      </bottom>
      <diagonal/>
    </border>
    <border>
      <left style="thin">
        <color indexed="23"/>
      </left>
      <right/>
      <top style="hair">
        <color indexed="55"/>
      </top>
      <bottom style="hair">
        <color indexed="55"/>
      </bottom>
      <diagonal/>
    </border>
    <border>
      <left style="double">
        <color indexed="64"/>
      </left>
      <right style="thin">
        <color indexed="23"/>
      </right>
      <top style="thin">
        <color indexed="9"/>
      </top>
      <bottom/>
      <diagonal/>
    </border>
    <border>
      <left style="double">
        <color indexed="64"/>
      </left>
      <right style="thin">
        <color indexed="23"/>
      </right>
      <top/>
      <bottom style="hair">
        <color indexed="55"/>
      </bottom>
      <diagonal/>
    </border>
    <border>
      <left style="double">
        <color indexed="64"/>
      </left>
      <right style="thin">
        <color indexed="23"/>
      </right>
      <top style="hair">
        <color indexed="55"/>
      </top>
      <bottom style="hair">
        <color indexed="55"/>
      </bottom>
      <diagonal/>
    </border>
    <border>
      <left style="double">
        <color indexed="64"/>
      </left>
      <right style="thin">
        <color indexed="23"/>
      </right>
      <top style="hair">
        <color indexed="55"/>
      </top>
      <bottom/>
      <diagonal/>
    </border>
    <border>
      <left/>
      <right/>
      <top style="hair">
        <color indexed="55"/>
      </top>
      <bottom/>
      <diagonal/>
    </border>
    <border>
      <left style="double">
        <color indexed="64"/>
      </left>
      <right/>
      <top style="hair">
        <color indexed="55"/>
      </top>
      <bottom/>
      <diagonal/>
    </border>
    <border>
      <left/>
      <right style="double">
        <color indexed="64"/>
      </right>
      <top style="hair">
        <color indexed="55"/>
      </top>
      <bottom/>
      <diagonal/>
    </border>
    <border>
      <left/>
      <right style="double">
        <color indexed="23"/>
      </right>
      <top style="hair">
        <color indexed="55"/>
      </top>
      <bottom/>
      <diagonal/>
    </border>
    <border>
      <left style="thin">
        <color indexed="23"/>
      </left>
      <right/>
      <top/>
      <bottom style="hair">
        <color indexed="55"/>
      </bottom>
      <diagonal/>
    </border>
    <border>
      <left/>
      <right/>
      <top/>
      <bottom style="hair">
        <color indexed="55"/>
      </bottom>
      <diagonal/>
    </border>
    <border>
      <left style="double">
        <color indexed="64"/>
      </left>
      <right/>
      <top/>
      <bottom style="hair">
        <color indexed="55"/>
      </bottom>
      <diagonal/>
    </border>
    <border>
      <left/>
      <right style="double">
        <color indexed="64"/>
      </right>
      <top/>
      <bottom style="hair">
        <color indexed="55"/>
      </bottom>
      <diagonal/>
    </border>
    <border>
      <left/>
      <right style="double">
        <color indexed="23"/>
      </right>
      <top/>
      <bottom style="hair">
        <color indexed="55"/>
      </bottom>
      <diagonal/>
    </border>
    <border>
      <left style="thin">
        <color indexed="23"/>
      </left>
      <right/>
      <top style="hair">
        <color indexed="55"/>
      </top>
      <bottom/>
      <diagonal/>
    </border>
    <border>
      <left style="double">
        <color indexed="64"/>
      </left>
      <right style="thin">
        <color indexed="23"/>
      </right>
      <top style="hair">
        <color indexed="55"/>
      </top>
      <bottom style="double">
        <color indexed="64"/>
      </bottom>
      <diagonal/>
    </border>
    <border>
      <left style="thin">
        <color indexed="23"/>
      </left>
      <right/>
      <top style="hair">
        <color indexed="55"/>
      </top>
      <bottom style="double">
        <color indexed="64"/>
      </bottom>
      <diagonal/>
    </border>
    <border>
      <left/>
      <right/>
      <top style="hair">
        <color indexed="55"/>
      </top>
      <bottom style="double">
        <color indexed="64"/>
      </bottom>
      <diagonal/>
    </border>
    <border>
      <left style="double">
        <color indexed="64"/>
      </left>
      <right/>
      <top style="hair">
        <color indexed="55"/>
      </top>
      <bottom style="double">
        <color indexed="64"/>
      </bottom>
      <diagonal/>
    </border>
    <border>
      <left/>
      <right style="double">
        <color indexed="64"/>
      </right>
      <top style="hair">
        <color indexed="55"/>
      </top>
      <bottom style="double">
        <color indexed="64"/>
      </bottom>
      <diagonal/>
    </border>
    <border>
      <left/>
      <right/>
      <top/>
      <bottom style="thin">
        <color theme="4"/>
      </bottom>
      <diagonal/>
    </border>
    <border diagonalDown="1">
      <left style="thin">
        <color theme="0"/>
      </left>
      <right/>
      <top/>
      <bottom/>
      <diagonal style="thin">
        <color theme="0"/>
      </diagonal>
    </border>
    <border>
      <left/>
      <right/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0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0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theme="4"/>
      </left>
      <right style="thin">
        <color indexed="59"/>
      </right>
      <top style="thin">
        <color theme="4"/>
      </top>
      <bottom/>
      <diagonal/>
    </border>
    <border>
      <left style="thin">
        <color indexed="59"/>
      </left>
      <right style="thin">
        <color indexed="59"/>
      </right>
      <top style="thin">
        <color theme="4"/>
      </top>
      <bottom/>
      <diagonal/>
    </border>
    <border>
      <left style="thin">
        <color indexed="59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indexed="59"/>
      </right>
      <top/>
      <bottom/>
      <diagonal/>
    </border>
    <border>
      <left style="thin">
        <color indexed="59"/>
      </left>
      <right style="thin">
        <color theme="4"/>
      </right>
      <top/>
      <bottom/>
      <diagonal/>
    </border>
    <border>
      <left style="thin">
        <color theme="4"/>
      </left>
      <right style="thin">
        <color indexed="59"/>
      </right>
      <top/>
      <bottom style="thin">
        <color theme="4"/>
      </bottom>
      <diagonal/>
    </border>
    <border>
      <left style="thin">
        <color indexed="59"/>
      </left>
      <right style="thin">
        <color indexed="59"/>
      </right>
      <top/>
      <bottom style="thin">
        <color theme="4"/>
      </bottom>
      <diagonal/>
    </border>
    <border>
      <left style="thin">
        <color indexed="59"/>
      </left>
      <right style="thin">
        <color theme="4"/>
      </right>
      <top/>
      <bottom style="thin">
        <color theme="4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0"/>
      </right>
      <top style="thin">
        <color theme="4" tint="0.59996337778862885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4" tint="0.59996337778862885"/>
      </top>
      <bottom style="thin">
        <color theme="3" tint="0.79998168889431442"/>
      </bottom>
      <diagonal/>
    </border>
    <border>
      <left/>
      <right style="thin">
        <color theme="4"/>
      </right>
      <top/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39994506668294322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 tint="-9.9948118533890809E-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/>
      </right>
      <top/>
      <bottom style="thin">
        <color theme="2" tint="-9.9948118533890809E-2"/>
      </bottom>
      <diagonal/>
    </border>
    <border>
      <left style="thin">
        <color theme="2"/>
      </left>
      <right style="thin">
        <color theme="2"/>
      </right>
      <top/>
      <bottom style="thin">
        <color theme="2" tint="-9.9948118533890809E-2"/>
      </bottom>
      <diagonal/>
    </border>
    <border>
      <left style="thin">
        <color theme="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0"/>
      </right>
      <top style="thin">
        <color theme="4" tint="0.39991454817346722"/>
      </top>
      <bottom/>
      <diagonal/>
    </border>
    <border>
      <left style="thin">
        <color theme="0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thin">
        <color theme="4" tint="0.39994506668294322"/>
      </left>
      <right style="thin">
        <color theme="0"/>
      </right>
      <top/>
      <bottom style="thin">
        <color theme="4" tint="0.39994506668294322"/>
      </bottom>
      <diagonal/>
    </border>
    <border>
      <left style="thin">
        <color theme="0"/>
      </left>
      <right style="thin">
        <color theme="0"/>
      </right>
      <top/>
      <bottom style="thin">
        <color theme="4" tint="0.39994506668294322"/>
      </bottom>
      <diagonal/>
    </border>
    <border>
      <left style="thin">
        <color theme="0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indexed="9"/>
      </top>
      <bottom/>
      <diagonal/>
    </border>
    <border>
      <left style="thin">
        <color theme="0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theme="4" tint="0.39994506668294322"/>
      </right>
      <top style="thin">
        <color indexed="9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4" tint="0.39994506668294322"/>
      </right>
      <top style="thin">
        <color theme="0"/>
      </top>
      <bottom/>
      <diagonal/>
    </border>
    <border>
      <left style="thin">
        <color theme="0"/>
      </left>
      <right style="thin">
        <color theme="4" tint="0.39994506668294322"/>
      </right>
      <top style="thin">
        <color indexed="9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indexed="9"/>
      </top>
      <bottom style="thin">
        <color theme="0"/>
      </bottom>
      <diagonal/>
    </border>
    <border>
      <left/>
      <right style="thin">
        <color theme="0"/>
      </right>
      <top style="thin">
        <color indexed="9"/>
      </top>
      <bottom style="thin">
        <color theme="0"/>
      </bottom>
      <diagonal/>
    </border>
    <border>
      <left style="thin">
        <color theme="4" tint="0.39994506668294322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 style="thin">
        <color theme="0"/>
      </right>
      <top/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thin">
        <color theme="4" tint="0.39994506668294322"/>
      </top>
      <bottom/>
      <diagonal/>
    </border>
    <border>
      <left style="thin">
        <color theme="0"/>
      </left>
      <right/>
      <top style="thin">
        <color theme="4" tint="0.79998168889431442"/>
      </top>
      <bottom style="thin">
        <color theme="0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0"/>
      </left>
      <right style="thin">
        <color theme="4"/>
      </right>
      <top/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/>
      <diagonal/>
    </border>
    <border>
      <left style="thin">
        <color theme="4" tint="0.79998168889431442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theme="0"/>
      </left>
      <right/>
      <top style="thin">
        <color theme="0"/>
      </top>
      <bottom style="thin">
        <color theme="4" tint="0.39994506668294322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4" tint="0.39994506668294322"/>
      </left>
      <right/>
      <top/>
      <bottom style="thin">
        <color indexed="55"/>
      </bottom>
      <diagonal/>
    </border>
    <border>
      <left style="medium">
        <color theme="4" tint="0.39991454817346722"/>
      </left>
      <right style="thin">
        <color theme="4" tint="0.39994506668294322"/>
      </right>
      <top/>
      <bottom style="thin">
        <color indexed="55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indexed="55"/>
      </bottom>
      <diagonal/>
    </border>
    <border>
      <left style="thin">
        <color theme="4" tint="0.39994506668294322"/>
      </left>
      <right style="medium">
        <color theme="4" tint="0.39991454817346722"/>
      </right>
      <top/>
      <bottom style="thin">
        <color indexed="55"/>
      </bottom>
      <diagonal/>
    </border>
    <border>
      <left/>
      <right style="thin">
        <color theme="4" tint="0.39994506668294322"/>
      </right>
      <top/>
      <bottom style="thin">
        <color indexed="55"/>
      </bottom>
      <diagonal/>
    </border>
    <border>
      <left style="thin">
        <color theme="4" tint="0.39994506668294322"/>
      </left>
      <right style="medium">
        <color theme="4" tint="0.39994506668294322"/>
      </right>
      <top/>
      <bottom style="thin">
        <color indexed="55"/>
      </bottom>
      <diagonal/>
    </border>
    <border>
      <left style="medium">
        <color theme="4" tint="0.39994506668294322"/>
      </left>
      <right/>
      <top style="thin">
        <color indexed="55"/>
      </top>
      <bottom style="thin">
        <color indexed="55"/>
      </bottom>
      <diagonal/>
    </border>
    <border>
      <left style="medium">
        <color theme="4" tint="0.39991454817346722"/>
      </left>
      <right style="thin">
        <color theme="4" tint="0.39994506668294322"/>
      </right>
      <top style="thin">
        <color indexed="55"/>
      </top>
      <bottom style="thin">
        <color indexed="55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indexed="55"/>
      </top>
      <bottom style="thin">
        <color indexed="55"/>
      </bottom>
      <diagonal/>
    </border>
    <border>
      <left style="thin">
        <color theme="4" tint="0.39994506668294322"/>
      </left>
      <right style="medium">
        <color theme="4" tint="0.39991454817346722"/>
      </right>
      <top style="thin">
        <color indexed="55"/>
      </top>
      <bottom style="thin">
        <color indexed="55"/>
      </bottom>
      <diagonal/>
    </border>
    <border>
      <left/>
      <right style="thin">
        <color theme="4" tint="0.39994506668294322"/>
      </right>
      <top style="thin">
        <color indexed="55"/>
      </top>
      <bottom style="thin">
        <color indexed="55"/>
      </bottom>
      <diagonal/>
    </border>
    <border>
      <left style="thin">
        <color theme="4" tint="0.39994506668294322"/>
      </left>
      <right style="medium">
        <color theme="4" tint="0.39994506668294322"/>
      </right>
      <top style="thin">
        <color indexed="55"/>
      </top>
      <bottom style="thin">
        <color indexed="55"/>
      </bottom>
      <diagonal/>
    </border>
    <border>
      <left style="medium">
        <color theme="4" tint="0.39994506668294322"/>
      </left>
      <right/>
      <top style="thin">
        <color indexed="55"/>
      </top>
      <bottom style="medium">
        <color theme="4" tint="0.39994506668294322"/>
      </bottom>
      <diagonal/>
    </border>
    <border>
      <left style="medium">
        <color theme="4" tint="0.39991454817346722"/>
      </left>
      <right style="thin">
        <color theme="4" tint="0.39994506668294322"/>
      </right>
      <top style="thin">
        <color indexed="55"/>
      </top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indexed="55"/>
      </top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1454817346722"/>
      </right>
      <top style="thin">
        <color indexed="55"/>
      </top>
      <bottom style="medium">
        <color theme="4" tint="0.39994506668294322"/>
      </bottom>
      <diagonal/>
    </border>
    <border>
      <left/>
      <right style="thin">
        <color theme="4" tint="0.39994506668294322"/>
      </right>
      <top style="thin">
        <color indexed="55"/>
      </top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4506668294322"/>
      </right>
      <top style="thin">
        <color indexed="55"/>
      </top>
      <bottom style="medium">
        <color theme="4" tint="0.3999450666829432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4" tint="0.39991454817346722"/>
      </left>
      <right style="medium">
        <color theme="4" tint="0.39994506668294322"/>
      </right>
      <top style="thin">
        <color theme="4" tint="0.39991454817346722"/>
      </top>
      <bottom/>
      <diagonal/>
    </border>
    <border>
      <left style="medium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medium">
        <color theme="4" tint="0.39994506668294322"/>
      </right>
      <top style="thin">
        <color theme="4" tint="0.39994506668294322"/>
      </top>
      <bottom/>
      <diagonal/>
    </border>
    <border>
      <left style="medium">
        <color theme="4" tint="0.399914548173467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79998168889431442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/>
      <right style="thin">
        <color theme="0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0"/>
      </left>
      <right style="thin">
        <color theme="0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0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/>
      </left>
      <right style="thin">
        <color indexed="9"/>
      </right>
      <top style="thin">
        <color theme="4"/>
      </top>
      <bottom/>
      <diagonal/>
    </border>
    <border>
      <left style="thin">
        <color theme="4"/>
      </left>
      <right style="thin">
        <color indexed="9"/>
      </right>
      <top/>
      <bottom style="thin">
        <color theme="4"/>
      </bottom>
      <diagonal/>
    </border>
    <border>
      <left style="thin">
        <color theme="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theme="4" tint="0.39994506668294322"/>
      </right>
      <top style="thin">
        <color indexed="9"/>
      </top>
      <bottom/>
      <diagonal/>
    </border>
    <border>
      <left style="thin">
        <color theme="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theme="4" tint="0.39994506668294322"/>
      </right>
      <top/>
      <bottom style="thin">
        <color indexed="9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8840296639912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1454817346722"/>
      </bottom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thin">
        <color theme="4"/>
      </top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theme="4" tint="0.39991454817346722"/>
      </left>
      <right style="thin">
        <color theme="4" tint="0.39988402966399123"/>
      </right>
      <top/>
      <bottom/>
      <diagonal/>
    </border>
    <border>
      <left style="thin">
        <color theme="4" tint="0.39988402966399123"/>
      </left>
      <right style="thin">
        <color theme="4" tint="0.39988402966399123"/>
      </right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9"/>
      </left>
      <right style="thin">
        <color theme="4" tint="0.39994506668294322"/>
      </right>
      <top style="thin">
        <color theme="4" tint="0.39994506668294322"/>
      </top>
      <bottom style="thin">
        <color indexed="9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/>
      <top/>
      <bottom style="thin">
        <color theme="4" tint="0.39994506668294322"/>
      </bottom>
      <diagonal/>
    </border>
    <border>
      <left style="thin">
        <color indexed="9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9"/>
      </left>
      <right/>
      <top style="thin">
        <color theme="4" tint="0.39994506668294322"/>
      </top>
      <bottom style="thin">
        <color indexed="9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4"/>
      </left>
      <right style="medium">
        <color theme="0"/>
      </right>
      <top style="medium">
        <color theme="4"/>
      </top>
      <bottom/>
      <diagonal/>
    </border>
    <border>
      <left style="medium">
        <color theme="4" tint="0.39994506668294322"/>
      </left>
      <right/>
      <top/>
      <bottom/>
      <diagonal/>
    </border>
    <border>
      <left style="medium">
        <color theme="4" tint="0.399914548173467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medium">
        <color theme="4" tint="0.39991454817346722"/>
      </right>
      <top/>
      <bottom/>
      <diagonal/>
    </border>
    <border>
      <left style="medium">
        <color theme="4" tint="0.39994506668294322"/>
      </left>
      <right style="medium">
        <color theme="0"/>
      </right>
      <top/>
      <bottom style="medium">
        <color theme="4" tint="0.39994506668294322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4" tint="0.39994506668294322"/>
      </bottom>
      <diagonal/>
    </border>
    <border>
      <left style="thin">
        <color theme="0"/>
      </left>
      <right style="medium">
        <color theme="0"/>
      </right>
      <top/>
      <bottom style="medium">
        <color theme="4" tint="0.39994506668294322"/>
      </bottom>
      <diagonal/>
    </border>
    <border>
      <left style="thin">
        <color theme="0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thin">
        <color theme="0"/>
      </left>
      <right style="medium">
        <color theme="4"/>
      </right>
      <top style="medium">
        <color theme="0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4" tint="0.59996337778862885"/>
      </left>
      <right style="medium">
        <color theme="4" tint="0.59996337778862885"/>
      </right>
      <top/>
      <bottom/>
      <diagonal/>
    </border>
    <border>
      <left style="medium">
        <color theme="0"/>
      </left>
      <right style="medium">
        <color theme="4" tint="0.79998168889431442"/>
      </right>
      <top/>
      <bottom/>
      <diagonal/>
    </border>
    <border>
      <left style="medium">
        <color theme="4"/>
      </left>
      <right/>
      <top style="medium">
        <color theme="4"/>
      </top>
      <bottom style="medium">
        <color theme="0"/>
      </bottom>
      <diagonal/>
    </border>
    <border>
      <left/>
      <right style="medium">
        <color theme="0"/>
      </right>
      <top style="medium">
        <color theme="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4"/>
      </top>
      <bottom style="medium">
        <color theme="0"/>
      </bottom>
      <diagonal/>
    </border>
    <border>
      <left style="medium">
        <color theme="0"/>
      </left>
      <right/>
      <top style="medium">
        <color theme="4"/>
      </top>
      <bottom style="medium">
        <color theme="0"/>
      </bottom>
      <diagonal/>
    </border>
    <border>
      <left style="medium">
        <color theme="4"/>
      </left>
      <right style="thin">
        <color theme="0"/>
      </right>
      <top/>
      <bottom/>
      <diagonal/>
    </border>
    <border>
      <left style="medium">
        <color theme="4" tint="0.79998168889431442"/>
      </left>
      <right/>
      <top/>
      <bottom/>
      <diagonal/>
    </border>
    <border>
      <left/>
      <right style="medium">
        <color theme="4" tint="0.79998168889431442"/>
      </right>
      <top/>
      <bottom/>
      <diagonal/>
    </border>
    <border>
      <left style="medium">
        <color theme="4" tint="0.79998168889431442"/>
      </left>
      <right style="thin">
        <color theme="0"/>
      </right>
      <top/>
      <bottom/>
      <diagonal/>
    </border>
    <border>
      <left style="thin">
        <color theme="0"/>
      </left>
      <right style="medium">
        <color theme="4" tint="0.79998168889431442"/>
      </right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/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79998168889431442"/>
      </left>
      <right style="thin">
        <color theme="4" tint="0.79995117038483843"/>
      </right>
      <top/>
      <bottom/>
      <diagonal/>
    </border>
    <border>
      <left style="thin">
        <color theme="4" tint="0.79995117038483843"/>
      </left>
      <right style="thin">
        <color theme="4" tint="0.79995117038483843"/>
      </right>
      <top/>
      <bottom/>
      <diagonal/>
    </border>
    <border>
      <left style="thin">
        <color theme="4" tint="0.79995117038483843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5117038483843"/>
      </right>
      <top/>
      <bottom style="thin">
        <color theme="4" tint="0.79998168889431442"/>
      </bottom>
      <diagonal/>
    </border>
    <border>
      <left style="thin">
        <color theme="4" tint="0.79995117038483843"/>
      </left>
      <right style="thin">
        <color theme="4" tint="0.79995117038483843"/>
      </right>
      <top/>
      <bottom style="thin">
        <color theme="4" tint="0.79998168889431442"/>
      </bottom>
      <diagonal/>
    </border>
    <border>
      <left style="thin">
        <color theme="4" tint="0.79995117038483843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</borders>
  <cellStyleXfs count="60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4" fillId="0" borderId="0"/>
    <xf numFmtId="9" fontId="51" fillId="0" borderId="0" applyFont="0" applyFill="0" applyBorder="0" applyAlignment="0" applyProtection="0"/>
    <xf numFmtId="0" fontId="86" fillId="0" borderId="0"/>
    <xf numFmtId="0" fontId="87" fillId="0" borderId="141" applyNumberFormat="0" applyBorder="0" applyProtection="0">
      <alignment horizontal="center"/>
    </xf>
    <xf numFmtId="0" fontId="88" fillId="0" borderId="0" applyFill="0" applyBorder="0" applyProtection="0"/>
    <xf numFmtId="0" fontId="34" fillId="0" borderId="0"/>
    <xf numFmtId="0" fontId="87" fillId="30" borderId="142" applyNumberFormat="0" applyBorder="0" applyProtection="0">
      <alignment horizontal="center"/>
    </xf>
    <xf numFmtId="0" fontId="89" fillId="0" borderId="0" applyNumberFormat="0" applyFill="0" applyProtection="0"/>
    <xf numFmtId="0" fontId="87" fillId="0" borderId="0" applyNumberFormat="0" applyFill="0" applyBorder="0" applyProtection="0">
      <alignment horizontal="left"/>
    </xf>
    <xf numFmtId="0" fontId="86" fillId="0" borderId="0"/>
    <xf numFmtId="44" fontId="51" fillId="0" borderId="0" applyFont="0" applyFill="0" applyBorder="0" applyAlignment="0" applyProtection="0"/>
    <xf numFmtId="0" fontId="104" fillId="0" borderId="0"/>
    <xf numFmtId="0" fontId="104" fillId="0" borderId="0"/>
    <xf numFmtId="0" fontId="107" fillId="0" borderId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107" fillId="35" borderId="0" applyNumberFormat="0" applyBorder="0" applyAlignment="0" applyProtection="0"/>
    <xf numFmtId="0" fontId="107" fillId="36" borderId="0" applyNumberFormat="0" applyBorder="0" applyAlignment="0" applyProtection="0"/>
    <xf numFmtId="0" fontId="107" fillId="37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36" borderId="0" applyNumberFormat="0" applyBorder="0" applyAlignment="0" applyProtection="0"/>
    <xf numFmtId="0" fontId="107" fillId="39" borderId="0" applyNumberFormat="0" applyBorder="0" applyAlignment="0" applyProtection="0"/>
    <xf numFmtId="0" fontId="107" fillId="42" borderId="0" applyNumberFormat="0" applyBorder="0" applyAlignment="0" applyProtection="0"/>
    <xf numFmtId="0" fontId="111" fillId="43" borderId="0" applyNumberFormat="0" applyBorder="0" applyAlignment="0" applyProtection="0"/>
    <xf numFmtId="0" fontId="111" fillId="40" borderId="0" applyNumberFormat="0" applyBorder="0" applyAlignment="0" applyProtection="0"/>
    <xf numFmtId="0" fontId="111" fillId="41" borderId="0" applyNumberFormat="0" applyBorder="0" applyAlignment="0" applyProtection="0"/>
    <xf numFmtId="0" fontId="111" fillId="44" borderId="0" applyNumberFormat="0" applyBorder="0" applyAlignment="0" applyProtection="0"/>
    <xf numFmtId="0" fontId="111" fillId="45" borderId="0" applyNumberFormat="0" applyBorder="0" applyAlignment="0" applyProtection="0"/>
    <xf numFmtId="0" fontId="111" fillId="46" borderId="0" applyNumberFormat="0" applyBorder="0" applyAlignment="0" applyProtection="0"/>
    <xf numFmtId="0" fontId="112" fillId="0" borderId="292" applyNumberFormat="0" applyFill="0" applyAlignment="0" applyProtection="0"/>
    <xf numFmtId="0" fontId="113" fillId="0" borderId="293" applyNumberFormat="0" applyFill="0" applyAlignment="0" applyProtection="0"/>
    <xf numFmtId="0" fontId="114" fillId="0" borderId="294" applyNumberFormat="0" applyFill="0" applyAlignment="0" applyProtection="0"/>
    <xf numFmtId="0" fontId="114" fillId="0" borderId="0" applyNumberFormat="0" applyFill="0" applyBorder="0" applyAlignment="0" applyProtection="0"/>
    <xf numFmtId="0" fontId="115" fillId="47" borderId="295" applyNumberFormat="0" applyAlignment="0" applyProtection="0"/>
    <xf numFmtId="0" fontId="116" fillId="0" borderId="296" applyNumberFormat="0" applyFill="0" applyAlignment="0" applyProtection="0"/>
    <xf numFmtId="0" fontId="111" fillId="48" borderId="0" applyNumberFormat="0" applyBorder="0" applyAlignment="0" applyProtection="0"/>
    <xf numFmtId="0" fontId="111" fillId="49" borderId="0" applyNumberFormat="0" applyBorder="0" applyAlignment="0" applyProtection="0"/>
    <xf numFmtId="0" fontId="111" fillId="50" borderId="0" applyNumberFormat="0" applyBorder="0" applyAlignment="0" applyProtection="0"/>
    <xf numFmtId="0" fontId="111" fillId="44" borderId="0" applyNumberFormat="0" applyBorder="0" applyAlignment="0" applyProtection="0"/>
    <xf numFmtId="0" fontId="111" fillId="45" borderId="0" applyNumberFormat="0" applyBorder="0" applyAlignment="0" applyProtection="0"/>
    <xf numFmtId="0" fontId="111" fillId="51" borderId="0" applyNumberFormat="0" applyBorder="0" applyAlignment="0" applyProtection="0"/>
    <xf numFmtId="0" fontId="117" fillId="35" borderId="0" applyNumberFormat="0" applyBorder="0" applyAlignment="0" applyProtection="0"/>
    <xf numFmtId="0" fontId="118" fillId="38" borderId="295" applyNumberFormat="0" applyAlignment="0" applyProtection="0"/>
    <xf numFmtId="0" fontId="119" fillId="34" borderId="0" applyNumberFormat="0" applyBorder="0" applyAlignment="0" applyProtection="0"/>
    <xf numFmtId="0" fontId="120" fillId="52" borderId="0" applyNumberFormat="0" applyBorder="0" applyAlignment="0" applyProtection="0"/>
    <xf numFmtId="0" fontId="107" fillId="53" borderId="297" applyNumberFormat="0" applyFont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21" fillId="47" borderId="90" applyNumberFormat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298" applyNumberFormat="0" applyFill="0" applyAlignment="0" applyProtection="0"/>
    <xf numFmtId="0" fontId="125" fillId="0" borderId="298" applyNumberFormat="0" applyFill="0" applyAlignment="0" applyProtection="0"/>
    <xf numFmtId="0" fontId="126" fillId="54" borderId="299" applyNumberFormat="0" applyAlignment="0" applyProtection="0"/>
  </cellStyleXfs>
  <cellXfs count="1448">
    <xf numFmtId="0" fontId="0" fillId="0" borderId="0" xfId="0"/>
    <xf numFmtId="0" fontId="2" fillId="0" borderId="0" xfId="0" applyFont="1"/>
    <xf numFmtId="0" fontId="5" fillId="0" borderId="0" xfId="0" applyFont="1"/>
    <xf numFmtId="0" fontId="4" fillId="0" borderId="0" xfId="0" applyFont="1"/>
    <xf numFmtId="0" fontId="3" fillId="3" borderId="0" xfId="0" applyFont="1" applyFill="1"/>
    <xf numFmtId="0" fontId="1" fillId="3" borderId="0" xfId="0" applyFont="1" applyFill="1"/>
    <xf numFmtId="0" fontId="0" fillId="3" borderId="0" xfId="0" applyFill="1"/>
    <xf numFmtId="49" fontId="7" fillId="4" borderId="2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10" fillId="0" borderId="0" xfId="0" applyNumberFormat="1" applyFont="1" applyFill="1"/>
    <xf numFmtId="49" fontId="8" fillId="0" borderId="0" xfId="0" applyNumberFormat="1" applyFont="1"/>
    <xf numFmtId="10" fontId="8" fillId="0" borderId="0" xfId="0" applyNumberFormat="1" applyFont="1"/>
    <xf numFmtId="164" fontId="10" fillId="0" borderId="0" xfId="0" applyNumberFormat="1" applyFont="1"/>
    <xf numFmtId="49" fontId="7" fillId="6" borderId="2" xfId="0" applyNumberFormat="1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13" fillId="0" borderId="0" xfId="1" applyFont="1" applyAlignment="1" applyProtection="1"/>
    <xf numFmtId="0" fontId="12" fillId="0" borderId="0" xfId="1" applyAlignment="1" applyProtection="1">
      <alignment horizontal="center" vertical="center"/>
    </xf>
    <xf numFmtId="0" fontId="0" fillId="7" borderId="0" xfId="0" applyFill="1"/>
    <xf numFmtId="0" fontId="16" fillId="7" borderId="0" xfId="0" applyFont="1" applyFill="1"/>
    <xf numFmtId="0" fontId="3" fillId="7" borderId="0" xfId="0" applyFont="1" applyFill="1"/>
    <xf numFmtId="0" fontId="18" fillId="0" borderId="0" xfId="0" applyFont="1"/>
    <xf numFmtId="0" fontId="3" fillId="9" borderId="0" xfId="0" applyFont="1" applyFill="1"/>
    <xf numFmtId="0" fontId="1" fillId="9" borderId="0" xfId="0" applyFont="1" applyFill="1"/>
    <xf numFmtId="0" fontId="0" fillId="9" borderId="0" xfId="0" applyFill="1"/>
    <xf numFmtId="0" fontId="3" fillId="10" borderId="0" xfId="0" applyFont="1" applyFill="1" applyAlignment="1">
      <alignment vertical="center"/>
    </xf>
    <xf numFmtId="0" fontId="1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3" fillId="11" borderId="0" xfId="0" applyFont="1" applyFill="1"/>
    <xf numFmtId="0" fontId="1" fillId="11" borderId="0" xfId="0" applyFont="1" applyFill="1"/>
    <xf numFmtId="0" fontId="0" fillId="11" borderId="0" xfId="0" applyFill="1"/>
    <xf numFmtId="0" fontId="3" fillId="12" borderId="0" xfId="0" applyFont="1" applyFill="1"/>
    <xf numFmtId="0" fontId="1" fillId="12" borderId="0" xfId="0" applyFont="1" applyFill="1"/>
    <xf numFmtId="0" fontId="0" fillId="12" borderId="0" xfId="0" applyFill="1"/>
    <xf numFmtId="0" fontId="3" fillId="13" borderId="0" xfId="0" applyFont="1" applyFill="1"/>
    <xf numFmtId="0" fontId="1" fillId="13" borderId="0" xfId="0" applyFont="1" applyFill="1"/>
    <xf numFmtId="0" fontId="0" fillId="13" borderId="0" xfId="0" applyFill="1"/>
    <xf numFmtId="0" fontId="5" fillId="0" borderId="0" xfId="0" applyFont="1" applyFill="1"/>
    <xf numFmtId="0" fontId="3" fillId="14" borderId="0" xfId="0" applyFont="1" applyFill="1"/>
    <xf numFmtId="0" fontId="1" fillId="14" borderId="0" xfId="0" applyFont="1" applyFill="1"/>
    <xf numFmtId="0" fontId="0" fillId="14" borderId="0" xfId="0" applyFill="1"/>
    <xf numFmtId="0" fontId="3" fillId="15" borderId="0" xfId="0" applyFont="1" applyFill="1"/>
    <xf numFmtId="0" fontId="1" fillId="15" borderId="0" xfId="0" applyFont="1" applyFill="1"/>
    <xf numFmtId="0" fontId="0" fillId="15" borderId="0" xfId="0" applyFill="1"/>
    <xf numFmtId="0" fontId="3" fillId="16" borderId="0" xfId="0" applyFont="1" applyFill="1"/>
    <xf numFmtId="0" fontId="1" fillId="16" borderId="0" xfId="0" applyFont="1" applyFill="1"/>
    <xf numFmtId="0" fontId="0" fillId="16" borderId="0" xfId="0" applyFill="1"/>
    <xf numFmtId="0" fontId="3" fillId="17" borderId="0" xfId="0" applyFont="1" applyFill="1"/>
    <xf numFmtId="0" fontId="1" fillId="17" borderId="0" xfId="0" applyFont="1" applyFill="1"/>
    <xf numFmtId="0" fontId="0" fillId="17" borderId="0" xfId="0" applyFill="1"/>
    <xf numFmtId="0" fontId="22" fillId="2" borderId="13" xfId="0" applyFont="1" applyFill="1" applyBorder="1"/>
    <xf numFmtId="0" fontId="8" fillId="0" borderId="16" xfId="0" applyFont="1" applyBorder="1"/>
    <xf numFmtId="0" fontId="23" fillId="0" borderId="16" xfId="0" applyFont="1" applyBorder="1" applyAlignment="1">
      <alignment horizontal="right" wrapText="1"/>
    </xf>
    <xf numFmtId="0" fontId="8" fillId="0" borderId="12" xfId="0" applyFont="1" applyBorder="1"/>
    <xf numFmtId="0" fontId="8" fillId="0" borderId="12" xfId="0" applyFont="1" applyBorder="1" applyAlignment="1">
      <alignment horizontal="right" wrapText="1"/>
    </xf>
    <xf numFmtId="0" fontId="23" fillId="0" borderId="12" xfId="0" applyFont="1" applyBorder="1" applyAlignment="1">
      <alignment horizontal="right" wrapText="1"/>
    </xf>
    <xf numFmtId="0" fontId="9" fillId="5" borderId="12" xfId="0" applyFont="1" applyFill="1" applyBorder="1"/>
    <xf numFmtId="0" fontId="8" fillId="5" borderId="12" xfId="0" applyFont="1" applyFill="1" applyBorder="1" applyAlignment="1">
      <alignment horizontal="right" wrapText="1"/>
    </xf>
    <xf numFmtId="0" fontId="23" fillId="5" borderId="12" xfId="0" applyFont="1" applyFill="1" applyBorder="1" applyAlignment="1">
      <alignment horizontal="right" wrapText="1"/>
    </xf>
    <xf numFmtId="0" fontId="8" fillId="0" borderId="16" xfId="0" applyFont="1" applyBorder="1" applyAlignment="1">
      <alignment horizontal="right" wrapText="1"/>
    </xf>
    <xf numFmtId="0" fontId="8" fillId="0" borderId="0" xfId="0" applyFont="1"/>
    <xf numFmtId="0" fontId="8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9" fillId="5" borderId="0" xfId="0" applyFont="1" applyFill="1"/>
    <xf numFmtId="0" fontId="10" fillId="5" borderId="0" xfId="0" applyFont="1" applyFill="1" applyAlignment="1">
      <alignment horizontal="right" wrapText="1"/>
    </xf>
    <xf numFmtId="0" fontId="8" fillId="5" borderId="0" xfId="0" applyFont="1" applyFill="1" applyAlignment="1">
      <alignment horizontal="right" wrapText="1"/>
    </xf>
    <xf numFmtId="0" fontId="23" fillId="5" borderId="0" xfId="0" applyFont="1" applyFill="1" applyAlignment="1">
      <alignment horizontal="right" wrapText="1"/>
    </xf>
    <xf numFmtId="0" fontId="7" fillId="0" borderId="17" xfId="0" applyFont="1" applyBorder="1" applyAlignment="1">
      <alignment vertical="center"/>
    </xf>
    <xf numFmtId="165" fontId="7" fillId="0" borderId="17" xfId="0" applyNumberFormat="1" applyFont="1" applyBorder="1" applyAlignment="1">
      <alignment horizontal="right" vertical="center" wrapText="1"/>
    </xf>
    <xf numFmtId="165" fontId="25" fillId="0" borderId="17" xfId="0" applyNumberFormat="1" applyFont="1" applyBorder="1" applyAlignment="1">
      <alignment horizontal="right" vertical="center" wrapText="1"/>
    </xf>
    <xf numFmtId="0" fontId="9" fillId="5" borderId="9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26" fillId="0" borderId="0" xfId="0" applyFont="1"/>
    <xf numFmtId="0" fontId="9" fillId="5" borderId="19" xfId="0" applyFont="1" applyFill="1" applyBorder="1" applyAlignment="1">
      <alignment horizontal="center" vertical="center" wrapText="1"/>
    </xf>
    <xf numFmtId="0" fontId="9" fillId="5" borderId="2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justify"/>
    </xf>
    <xf numFmtId="0" fontId="26" fillId="0" borderId="0" xfId="0" applyFont="1" applyAlignment="1">
      <alignment horizontal="left" indent="1"/>
    </xf>
    <xf numFmtId="0" fontId="30" fillId="0" borderId="0" xfId="0" applyFont="1"/>
    <xf numFmtId="0" fontId="10" fillId="5" borderId="5" xfId="0" applyFont="1" applyFill="1" applyBorder="1" applyAlignment="1">
      <alignment horizontal="left" vertical="center" indent="1"/>
    </xf>
    <xf numFmtId="0" fontId="10" fillId="5" borderId="7" xfId="0" applyFont="1" applyFill="1" applyBorder="1" applyAlignment="1">
      <alignment vertical="center"/>
    </xf>
    <xf numFmtId="0" fontId="10" fillId="8" borderId="8" xfId="0" applyFont="1" applyFill="1" applyBorder="1" applyAlignment="1">
      <alignment horizontal="left" vertical="center" indent="1"/>
    </xf>
    <xf numFmtId="0" fontId="10" fillId="8" borderId="10" xfId="0" applyFont="1" applyFill="1" applyBorder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right" vertical="center"/>
    </xf>
    <xf numFmtId="0" fontId="9" fillId="18" borderId="24" xfId="2" applyFont="1" applyFill="1" applyBorder="1" applyAlignment="1">
      <alignment horizontal="center" vertical="center" wrapText="1"/>
    </xf>
    <xf numFmtId="0" fontId="9" fillId="18" borderId="9" xfId="0" applyFont="1" applyFill="1" applyBorder="1" applyAlignment="1">
      <alignment horizontal="center" vertical="center"/>
    </xf>
    <xf numFmtId="0" fontId="9" fillId="18" borderId="10" xfId="0" applyFont="1" applyFill="1" applyBorder="1" applyAlignment="1">
      <alignment horizontal="center" vertical="center" wrapText="1"/>
    </xf>
    <xf numFmtId="0" fontId="35" fillId="18" borderId="2" xfId="0" applyFont="1" applyFill="1" applyBorder="1" applyAlignment="1">
      <alignment horizontal="center" vertical="center" wrapText="1"/>
    </xf>
    <xf numFmtId="0" fontId="35" fillId="18" borderId="4" xfId="0" applyFont="1" applyFill="1" applyBorder="1" applyAlignment="1">
      <alignment horizontal="center" vertical="center" wrapText="1"/>
    </xf>
    <xf numFmtId="0" fontId="36" fillId="19" borderId="0" xfId="0" applyFont="1" applyFill="1" applyAlignment="1">
      <alignment vertical="center" wrapText="1"/>
    </xf>
    <xf numFmtId="0" fontId="37" fillId="19" borderId="0" xfId="0" applyFont="1" applyFill="1" applyAlignment="1">
      <alignment vertical="top" wrapText="1"/>
    </xf>
    <xf numFmtId="0" fontId="38" fillId="19" borderId="26" xfId="0" applyFont="1" applyFill="1" applyBorder="1" applyAlignment="1">
      <alignment horizontal="center" vertical="center" wrapText="1"/>
    </xf>
    <xf numFmtId="167" fontId="37" fillId="19" borderId="27" xfId="0" applyNumberFormat="1" applyFont="1" applyFill="1" applyBorder="1" applyAlignment="1">
      <alignment horizontal="right" vertical="center" wrapText="1" indent="5"/>
    </xf>
    <xf numFmtId="0" fontId="38" fillId="5" borderId="26" xfId="0" applyFont="1" applyFill="1" applyBorder="1" applyAlignment="1">
      <alignment horizontal="center" vertical="center" wrapText="1"/>
    </xf>
    <xf numFmtId="167" fontId="37" fillId="5" borderId="27" xfId="0" applyNumberFormat="1" applyFont="1" applyFill="1" applyBorder="1" applyAlignment="1">
      <alignment horizontal="right" vertical="center" wrapText="1" indent="5"/>
    </xf>
    <xf numFmtId="0" fontId="22" fillId="2" borderId="5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9" fillId="0" borderId="0" xfId="0" applyFont="1"/>
    <xf numFmtId="0" fontId="12" fillId="0" borderId="0" xfId="1" applyAlignment="1" applyProtection="1">
      <alignment horizontal="center"/>
    </xf>
    <xf numFmtId="0" fontId="36" fillId="19" borderId="0" xfId="0" applyFont="1" applyFill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2" fontId="23" fillId="5" borderId="29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0" borderId="0" xfId="0" applyFont="1" applyBorder="1"/>
    <xf numFmtId="0" fontId="5" fillId="3" borderId="0" xfId="0" applyFont="1" applyFill="1" applyBorder="1" applyAlignment="1">
      <alignment horizontal="center" wrapText="1"/>
    </xf>
    <xf numFmtId="0" fontId="4" fillId="0" borderId="26" xfId="0" applyFont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169" fontId="5" fillId="0" borderId="0" xfId="0" applyNumberFormat="1" applyFont="1" applyBorder="1" applyAlignment="1">
      <alignment horizontal="right" vertical="center" wrapText="1" indent="1"/>
    </xf>
    <xf numFmtId="169" fontId="5" fillId="0" borderId="27" xfId="0" applyNumberFormat="1" applyFont="1" applyBorder="1" applyAlignment="1">
      <alignment horizontal="right" vertical="center" wrapText="1" indent="1"/>
    </xf>
    <xf numFmtId="169" fontId="5" fillId="5" borderId="0" xfId="0" applyNumberFormat="1" applyFont="1" applyFill="1" applyBorder="1" applyAlignment="1">
      <alignment horizontal="right" vertical="center" wrapText="1" indent="1"/>
    </xf>
    <xf numFmtId="169" fontId="5" fillId="5" borderId="27" xfId="0" applyNumberFormat="1" applyFont="1" applyFill="1" applyBorder="1" applyAlignment="1">
      <alignment horizontal="right" vertical="center" wrapText="1" indent="1"/>
    </xf>
    <xf numFmtId="0" fontId="4" fillId="18" borderId="8" xfId="0" applyFont="1" applyFill="1" applyBorder="1" applyAlignment="1">
      <alignment horizontal="center" wrapText="1"/>
    </xf>
    <xf numFmtId="0" fontId="4" fillId="18" borderId="10" xfId="0" applyFont="1" applyFill="1" applyBorder="1" applyAlignment="1">
      <alignment horizontal="center" wrapText="1"/>
    </xf>
    <xf numFmtId="0" fontId="41" fillId="20" borderId="9" xfId="0" applyFont="1" applyFill="1" applyBorder="1" applyAlignment="1">
      <alignment horizontal="center" vertical="center"/>
    </xf>
    <xf numFmtId="0" fontId="41" fillId="20" borderId="36" xfId="0" applyFont="1" applyFill="1" applyBorder="1" applyAlignment="1">
      <alignment horizontal="center" vertical="center"/>
    </xf>
    <xf numFmtId="0" fontId="41" fillId="20" borderId="37" xfId="0" applyFont="1" applyFill="1" applyBorder="1" applyAlignment="1">
      <alignment horizontal="center" vertical="center"/>
    </xf>
    <xf numFmtId="166" fontId="43" fillId="0" borderId="38" xfId="0" applyNumberFormat="1" applyFont="1" applyBorder="1" applyAlignment="1">
      <alignment horizontal="center" vertical="center"/>
    </xf>
    <xf numFmtId="166" fontId="41" fillId="0" borderId="38" xfId="0" applyNumberFormat="1" applyFont="1" applyBorder="1" applyAlignment="1">
      <alignment horizontal="center" vertical="center"/>
    </xf>
    <xf numFmtId="9" fontId="40" fillId="21" borderId="37" xfId="0" applyNumberFormat="1" applyFont="1" applyFill="1" applyBorder="1" applyAlignment="1">
      <alignment horizontal="center" vertical="center"/>
    </xf>
    <xf numFmtId="166" fontId="43" fillId="0" borderId="39" xfId="0" applyNumberFormat="1" applyFont="1" applyBorder="1" applyAlignment="1">
      <alignment horizontal="center" vertical="center"/>
    </xf>
    <xf numFmtId="166" fontId="43" fillId="0" borderId="40" xfId="0" applyNumberFormat="1" applyFont="1" applyBorder="1" applyAlignment="1">
      <alignment horizontal="center" vertical="center"/>
    </xf>
    <xf numFmtId="166" fontId="43" fillId="0" borderId="41" xfId="0" applyNumberFormat="1" applyFont="1" applyBorder="1" applyAlignment="1">
      <alignment horizontal="center" vertical="center"/>
    </xf>
    <xf numFmtId="166" fontId="45" fillId="0" borderId="39" xfId="0" applyNumberFormat="1" applyFont="1" applyBorder="1" applyAlignment="1">
      <alignment horizontal="center" vertical="center"/>
    </xf>
    <xf numFmtId="166" fontId="45" fillId="0" borderId="41" xfId="0" applyNumberFormat="1" applyFont="1" applyBorder="1" applyAlignment="1">
      <alignment horizontal="center" vertical="center"/>
    </xf>
    <xf numFmtId="166" fontId="41" fillId="0" borderId="41" xfId="0" applyNumberFormat="1" applyFont="1" applyBorder="1" applyAlignment="1">
      <alignment horizontal="center" vertical="center"/>
    </xf>
    <xf numFmtId="9" fontId="40" fillId="22" borderId="37" xfId="0" applyNumberFormat="1" applyFont="1" applyFill="1" applyBorder="1" applyAlignment="1">
      <alignment horizontal="center" vertical="center"/>
    </xf>
    <xf numFmtId="9" fontId="46" fillId="21" borderId="37" xfId="0" applyNumberFormat="1" applyFont="1" applyFill="1" applyBorder="1" applyAlignment="1">
      <alignment horizontal="center" vertical="center"/>
    </xf>
    <xf numFmtId="166" fontId="45" fillId="0" borderId="42" xfId="0" applyNumberFormat="1" applyFont="1" applyFill="1" applyBorder="1" applyAlignment="1">
      <alignment horizontal="center" vertical="center"/>
    </xf>
    <xf numFmtId="166" fontId="45" fillId="0" borderId="43" xfId="0" applyNumberFormat="1" applyFont="1" applyFill="1" applyBorder="1" applyAlignment="1">
      <alignment horizontal="center" vertical="center"/>
    </xf>
    <xf numFmtId="9" fontId="44" fillId="22" borderId="37" xfId="0" applyNumberFormat="1" applyFont="1" applyFill="1" applyBorder="1" applyAlignment="1">
      <alignment horizontal="center" vertical="center" wrapText="1"/>
    </xf>
    <xf numFmtId="166" fontId="45" fillId="0" borderId="40" xfId="0" applyNumberFormat="1" applyFont="1" applyBorder="1" applyAlignment="1">
      <alignment horizontal="center" vertical="center"/>
    </xf>
    <xf numFmtId="166" fontId="45" fillId="0" borderId="37" xfId="0" applyNumberFormat="1" applyFont="1" applyFill="1" applyBorder="1" applyAlignment="1">
      <alignment horizontal="center" vertical="center"/>
    </xf>
    <xf numFmtId="166" fontId="43" fillId="0" borderId="41" xfId="0" applyNumberFormat="1" applyFont="1" applyFill="1" applyBorder="1" applyAlignment="1">
      <alignment horizontal="center" vertical="center"/>
    </xf>
    <xf numFmtId="166" fontId="40" fillId="22" borderId="37" xfId="0" applyNumberFormat="1" applyFont="1" applyFill="1" applyBorder="1" applyAlignment="1">
      <alignment horizontal="center" vertical="center"/>
    </xf>
    <xf numFmtId="10" fontId="45" fillId="0" borderId="39" xfId="0" applyNumberFormat="1" applyFont="1" applyBorder="1" applyAlignment="1">
      <alignment horizontal="center" vertical="center"/>
    </xf>
    <xf numFmtId="10" fontId="45" fillId="0" borderId="40" xfId="0" applyNumberFormat="1" applyFont="1" applyBorder="1" applyAlignment="1">
      <alignment horizontal="center" vertical="center"/>
    </xf>
    <xf numFmtId="166" fontId="46" fillId="7" borderId="37" xfId="0" applyNumberFormat="1" applyFont="1" applyFill="1" applyBorder="1" applyAlignment="1">
      <alignment horizontal="center" vertical="center"/>
    </xf>
    <xf numFmtId="166" fontId="46" fillId="21" borderId="37" xfId="0" applyNumberFormat="1" applyFont="1" applyFill="1" applyBorder="1" applyAlignment="1">
      <alignment horizontal="center" vertical="center"/>
    </xf>
    <xf numFmtId="166" fontId="45" fillId="0" borderId="44" xfId="0" applyNumberFormat="1" applyFont="1" applyFill="1" applyBorder="1" applyAlignment="1">
      <alignment horizontal="center" vertical="center"/>
    </xf>
    <xf numFmtId="166" fontId="48" fillId="0" borderId="41" xfId="0" applyNumberFormat="1" applyFont="1" applyBorder="1" applyAlignment="1">
      <alignment horizontal="center" vertical="center"/>
    </xf>
    <xf numFmtId="10" fontId="45" fillId="0" borderId="41" xfId="0" applyNumberFormat="1" applyFont="1" applyBorder="1" applyAlignment="1">
      <alignment horizontal="center" vertical="center"/>
    </xf>
    <xf numFmtId="0" fontId="41" fillId="20" borderId="45" xfId="0" applyFont="1" applyFill="1" applyBorder="1" applyAlignment="1">
      <alignment horizontal="center" vertical="center"/>
    </xf>
    <xf numFmtId="0" fontId="44" fillId="7" borderId="4" xfId="0" quotePrefix="1" applyFont="1" applyFill="1" applyBorder="1" applyAlignment="1">
      <alignment horizontal="center" vertical="center" wrapText="1"/>
    </xf>
    <xf numFmtId="0" fontId="44" fillId="7" borderId="3" xfId="0" quotePrefix="1" applyFont="1" applyFill="1" applyBorder="1" applyAlignment="1">
      <alignment horizontal="center" vertical="center" wrapText="1"/>
    </xf>
    <xf numFmtId="0" fontId="49" fillId="0" borderId="0" xfId="0" applyFont="1"/>
    <xf numFmtId="0" fontId="50" fillId="0" borderId="0" xfId="0" applyFont="1"/>
    <xf numFmtId="0" fontId="5" fillId="0" borderId="0" xfId="0" applyFont="1" applyAlignment="1">
      <alignment vertical="center"/>
    </xf>
    <xf numFmtId="0" fontId="53" fillId="0" borderId="47" xfId="0" applyFont="1" applyFill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5" fillId="0" borderId="47" xfId="0" applyNumberFormat="1" applyFont="1" applyBorder="1" applyAlignment="1">
      <alignment vertical="center"/>
    </xf>
    <xf numFmtId="0" fontId="53" fillId="23" borderId="37" xfId="0" applyFont="1" applyFill="1" applyBorder="1" applyAlignment="1">
      <alignment vertical="center"/>
    </xf>
    <xf numFmtId="165" fontId="4" fillId="23" borderId="37" xfId="0" applyNumberFormat="1" applyFont="1" applyFill="1" applyBorder="1" applyAlignment="1">
      <alignment vertical="center"/>
    </xf>
    <xf numFmtId="165" fontId="5" fillId="23" borderId="37" xfId="0" applyNumberFormat="1" applyFont="1" applyFill="1" applyBorder="1" applyAlignment="1">
      <alignment vertical="center"/>
    </xf>
    <xf numFmtId="0" fontId="53" fillId="0" borderId="48" xfId="0" applyFont="1" applyFill="1" applyBorder="1" applyAlignment="1">
      <alignment vertical="center"/>
    </xf>
    <xf numFmtId="165" fontId="5" fillId="0" borderId="48" xfId="0" applyNumberFormat="1" applyFont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4" fillId="24" borderId="37" xfId="0" applyFont="1" applyFill="1" applyBorder="1" applyAlignment="1">
      <alignment horizontal="right" vertical="center"/>
    </xf>
    <xf numFmtId="165" fontId="54" fillId="24" borderId="37" xfId="0" applyNumberFormat="1" applyFont="1" applyFill="1" applyBorder="1" applyAlignment="1">
      <alignment vertical="center"/>
    </xf>
    <xf numFmtId="165" fontId="5" fillId="23" borderId="0" xfId="0" applyNumberFormat="1" applyFont="1" applyFill="1"/>
    <xf numFmtId="165" fontId="5" fillId="0" borderId="0" xfId="0" applyNumberFormat="1" applyFont="1"/>
    <xf numFmtId="165" fontId="4" fillId="24" borderId="37" xfId="0" applyNumberFormat="1" applyFont="1" applyFill="1" applyBorder="1" applyAlignment="1">
      <alignment vertical="center"/>
    </xf>
    <xf numFmtId="165" fontId="4" fillId="24" borderId="0" xfId="0" applyNumberFormat="1" applyFont="1" applyFill="1"/>
    <xf numFmtId="0" fontId="22" fillId="2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right" indent="1"/>
    </xf>
    <xf numFmtId="171" fontId="5" fillId="23" borderId="0" xfId="0" applyNumberFormat="1" applyFont="1" applyFill="1" applyBorder="1" applyAlignment="1">
      <alignment horizontal="right" indent="1"/>
    </xf>
    <xf numFmtId="171" fontId="5" fillId="0" borderId="0" xfId="0" applyNumberFormat="1" applyFont="1" applyFill="1" applyBorder="1" applyAlignment="1">
      <alignment horizontal="right" indent="1"/>
    </xf>
    <xf numFmtId="171" fontId="5" fillId="23" borderId="2" xfId="0" applyNumberFormat="1" applyFont="1" applyFill="1" applyBorder="1" applyAlignment="1">
      <alignment horizontal="right" indent="1"/>
    </xf>
    <xf numFmtId="171" fontId="5" fillId="23" borderId="3" xfId="0" applyNumberFormat="1" applyFont="1" applyFill="1" applyBorder="1" applyAlignment="1">
      <alignment horizontal="right" indent="1"/>
    </xf>
    <xf numFmtId="171" fontId="5" fillId="23" borderId="4" xfId="0" applyNumberFormat="1" applyFont="1" applyFill="1" applyBorder="1" applyAlignment="1">
      <alignment horizontal="right" indent="1"/>
    </xf>
    <xf numFmtId="0" fontId="55" fillId="19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right"/>
    </xf>
    <xf numFmtId="172" fontId="10" fillId="0" borderId="0" xfId="3" applyNumberFormat="1" applyFont="1" applyFill="1" applyBorder="1" applyAlignment="1">
      <alignment horizontal="right"/>
    </xf>
    <xf numFmtId="172" fontId="10" fillId="0" borderId="51" xfId="0" applyNumberFormat="1" applyFont="1" applyFill="1" applyBorder="1" applyAlignment="1">
      <alignment horizontal="right"/>
    </xf>
    <xf numFmtId="0" fontId="9" fillId="23" borderId="52" xfId="0" applyFont="1" applyFill="1" applyBorder="1" applyAlignment="1">
      <alignment horizontal="center"/>
    </xf>
    <xf numFmtId="172" fontId="10" fillId="23" borderId="0" xfId="0" applyNumberFormat="1" applyFont="1" applyFill="1" applyBorder="1" applyAlignment="1">
      <alignment horizontal="right"/>
    </xf>
    <xf numFmtId="172" fontId="10" fillId="23" borderId="51" xfId="0" applyNumberFormat="1" applyFont="1" applyFill="1" applyBorder="1" applyAlignment="1">
      <alignment horizontal="right"/>
    </xf>
    <xf numFmtId="0" fontId="9" fillId="0" borderId="53" xfId="0" applyFont="1" applyFill="1" applyBorder="1" applyAlignment="1">
      <alignment horizontal="center"/>
    </xf>
    <xf numFmtId="172" fontId="10" fillId="0" borderId="54" xfId="0" applyNumberFormat="1" applyFont="1" applyFill="1" applyBorder="1" applyAlignment="1">
      <alignment horizontal="right"/>
    </xf>
    <xf numFmtId="172" fontId="10" fillId="0" borderId="54" xfId="3" applyNumberFormat="1" applyFont="1" applyFill="1" applyBorder="1" applyAlignment="1">
      <alignment horizontal="right"/>
    </xf>
    <xf numFmtId="172" fontId="10" fillId="0" borderId="55" xfId="0" applyNumberFormat="1" applyFont="1" applyFill="1" applyBorder="1" applyAlignment="1">
      <alignment horizontal="right"/>
    </xf>
    <xf numFmtId="0" fontId="22" fillId="2" borderId="5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9" fillId="19" borderId="56" xfId="0" applyFont="1" applyFill="1" applyBorder="1" applyAlignment="1">
      <alignment horizontal="center" vertical="center"/>
    </xf>
    <xf numFmtId="173" fontId="10" fillId="0" borderId="57" xfId="0" applyNumberFormat="1" applyFont="1" applyBorder="1" applyAlignment="1">
      <alignment horizontal="right" vertical="center" indent="1"/>
    </xf>
    <xf numFmtId="173" fontId="10" fillId="19" borderId="58" xfId="0" quotePrefix="1" applyNumberFormat="1" applyFont="1" applyFill="1" applyBorder="1" applyAlignment="1">
      <alignment horizontal="right" vertical="center" indent="1"/>
    </xf>
    <xf numFmtId="0" fontId="9" fillId="23" borderId="52" xfId="0" applyFont="1" applyFill="1" applyBorder="1" applyAlignment="1">
      <alignment horizontal="center" vertical="center"/>
    </xf>
    <xf numFmtId="173" fontId="10" fillId="23" borderId="3" xfId="0" applyNumberFormat="1" applyFont="1" applyFill="1" applyBorder="1" applyAlignment="1">
      <alignment horizontal="right" vertical="center" indent="1"/>
    </xf>
    <xf numFmtId="173" fontId="10" fillId="23" borderId="59" xfId="0" quotePrefix="1" applyNumberFormat="1" applyFont="1" applyFill="1" applyBorder="1" applyAlignment="1">
      <alignment horizontal="right" vertical="center" indent="1"/>
    </xf>
    <xf numFmtId="0" fontId="9" fillId="19" borderId="50" xfId="0" applyFont="1" applyFill="1" applyBorder="1" applyAlignment="1">
      <alignment horizontal="center" vertical="center"/>
    </xf>
    <xf numFmtId="173" fontId="10" fillId="0" borderId="0" xfId="0" applyNumberFormat="1" applyFont="1" applyBorder="1" applyAlignment="1">
      <alignment horizontal="right" vertical="center" indent="1"/>
    </xf>
    <xf numFmtId="173" fontId="10" fillId="19" borderId="51" xfId="0" quotePrefix="1" applyNumberFormat="1" applyFont="1" applyFill="1" applyBorder="1" applyAlignment="1">
      <alignment horizontal="right" vertical="center" indent="1"/>
    </xf>
    <xf numFmtId="0" fontId="9" fillId="19" borderId="53" xfId="0" applyFont="1" applyFill="1" applyBorder="1" applyAlignment="1">
      <alignment horizontal="center" vertical="center"/>
    </xf>
    <xf numFmtId="173" fontId="10" fillId="0" borderId="54" xfId="0" applyNumberFormat="1" applyFont="1" applyBorder="1" applyAlignment="1">
      <alignment horizontal="right" vertical="center" indent="1"/>
    </xf>
    <xf numFmtId="173" fontId="10" fillId="19" borderId="55" xfId="0" quotePrefix="1" applyNumberFormat="1" applyFont="1" applyFill="1" applyBorder="1" applyAlignment="1">
      <alignment horizontal="right" vertical="center" indent="1"/>
    </xf>
    <xf numFmtId="0" fontId="58" fillId="0" borderId="0" xfId="0" applyFont="1"/>
    <xf numFmtId="0" fontId="59" fillId="0" borderId="0" xfId="0" applyFont="1" applyFill="1" applyBorder="1" applyAlignment="1">
      <alignment horizontal="right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/>
    </xf>
    <xf numFmtId="173" fontId="10" fillId="0" borderId="0" xfId="0" applyNumberFormat="1" applyFont="1" applyFill="1" applyBorder="1" applyAlignment="1">
      <alignment horizontal="right" vertical="center" indent="1"/>
    </xf>
    <xf numFmtId="173" fontId="10" fillId="23" borderId="59" xfId="0" applyNumberFormat="1" applyFont="1" applyFill="1" applyBorder="1" applyAlignment="1">
      <alignment horizontal="right" vertical="center" indent="1"/>
    </xf>
    <xf numFmtId="0" fontId="9" fillId="23" borderId="60" xfId="0" applyFont="1" applyFill="1" applyBorder="1" applyAlignment="1">
      <alignment horizontal="center" vertical="center"/>
    </xf>
    <xf numFmtId="173" fontId="10" fillId="23" borderId="61" xfId="0" applyNumberFormat="1" applyFont="1" applyFill="1" applyBorder="1" applyAlignment="1">
      <alignment horizontal="right" vertical="center" indent="1"/>
    </xf>
    <xf numFmtId="173" fontId="10" fillId="23" borderId="62" xfId="0" applyNumberFormat="1" applyFont="1" applyFill="1" applyBorder="1" applyAlignment="1">
      <alignment horizontal="right" vertical="center" indent="1"/>
    </xf>
    <xf numFmtId="0" fontId="22" fillId="2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19" fillId="6" borderId="1" xfId="0" applyFont="1" applyFill="1" applyBorder="1" applyAlignment="1">
      <alignment vertical="center"/>
    </xf>
    <xf numFmtId="0" fontId="19" fillId="6" borderId="57" xfId="0" applyFont="1" applyFill="1" applyBorder="1" applyAlignment="1">
      <alignment vertical="center"/>
    </xf>
    <xf numFmtId="172" fontId="37" fillId="0" borderId="55" xfId="0" applyNumberFormat="1" applyFont="1" applyBorder="1" applyAlignment="1">
      <alignment horizontal="right" vertical="center" indent="1"/>
    </xf>
    <xf numFmtId="172" fontId="37" fillId="0" borderId="63" xfId="0" applyNumberFormat="1" applyFont="1" applyBorder="1" applyAlignment="1">
      <alignment horizontal="right" vertical="center" indent="1"/>
    </xf>
    <xf numFmtId="172" fontId="5" fillId="0" borderId="63" xfId="0" applyNumberFormat="1" applyFont="1" applyBorder="1" applyAlignment="1">
      <alignment horizontal="right" vertical="center" indent="1"/>
    </xf>
    <xf numFmtId="172" fontId="37" fillId="0" borderId="64" xfId="0" applyNumberFormat="1" applyFont="1" applyBorder="1" applyAlignment="1">
      <alignment horizontal="right" vertical="center" indent="1"/>
    </xf>
    <xf numFmtId="172" fontId="37" fillId="0" borderId="65" xfId="0" applyNumberFormat="1" applyFont="1" applyBorder="1" applyAlignment="1">
      <alignment horizontal="right" vertical="center" indent="1"/>
    </xf>
    <xf numFmtId="172" fontId="5" fillId="0" borderId="65" xfId="0" applyNumberFormat="1" applyFont="1" applyBorder="1" applyAlignment="1">
      <alignment horizontal="right" vertical="center" indent="1"/>
    </xf>
    <xf numFmtId="0" fontId="19" fillId="6" borderId="21" xfId="0" applyFont="1" applyFill="1" applyBorder="1" applyAlignment="1">
      <alignment vertical="center"/>
    </xf>
    <xf numFmtId="173" fontId="5" fillId="0" borderId="55" xfId="0" applyNumberFormat="1" applyFont="1" applyBorder="1" applyAlignment="1">
      <alignment horizontal="right" vertical="center" indent="1"/>
    </xf>
    <xf numFmtId="173" fontId="5" fillId="0" borderId="63" xfId="0" applyNumberFormat="1" applyFont="1" applyBorder="1" applyAlignment="1">
      <alignment horizontal="right" vertical="center" indent="1"/>
    </xf>
    <xf numFmtId="173" fontId="5" fillId="0" borderId="64" xfId="0" applyNumberFormat="1" applyFont="1" applyBorder="1" applyAlignment="1">
      <alignment horizontal="right" vertical="center" indent="1"/>
    </xf>
    <xf numFmtId="173" fontId="5" fillId="0" borderId="65" xfId="0" applyNumberFormat="1" applyFont="1" applyBorder="1" applyAlignment="1">
      <alignment horizontal="right" vertical="center" indent="1"/>
    </xf>
    <xf numFmtId="173" fontId="5" fillId="23" borderId="65" xfId="0" applyNumberFormat="1" applyFont="1" applyFill="1" applyBorder="1" applyAlignment="1">
      <alignment horizontal="right" vertical="center" indent="1"/>
    </xf>
    <xf numFmtId="173" fontId="5" fillId="23" borderId="64" xfId="0" applyNumberFormat="1" applyFont="1" applyFill="1" applyBorder="1" applyAlignment="1">
      <alignment horizontal="right" vertical="center" indent="1"/>
    </xf>
    <xf numFmtId="0" fontId="19" fillId="2" borderId="5" xfId="0" applyFont="1" applyFill="1" applyBorder="1" applyAlignment="1">
      <alignment horizontal="center" vertical="center"/>
    </xf>
    <xf numFmtId="1" fontId="22" fillId="2" borderId="3" xfId="0" applyNumberFormat="1" applyFont="1" applyFill="1" applyBorder="1" applyAlignment="1">
      <alignment horizontal="center" vertical="center"/>
    </xf>
    <xf numFmtId="173" fontId="37" fillId="0" borderId="55" xfId="0" applyNumberFormat="1" applyFont="1" applyBorder="1" applyAlignment="1">
      <alignment horizontal="right" vertical="center" indent="1"/>
    </xf>
    <xf numFmtId="173" fontId="37" fillId="0" borderId="63" xfId="0" applyNumberFormat="1" applyFont="1" applyBorder="1" applyAlignment="1">
      <alignment horizontal="right" vertical="center" indent="1"/>
    </xf>
    <xf numFmtId="173" fontId="37" fillId="0" borderId="64" xfId="0" applyNumberFormat="1" applyFont="1" applyBorder="1" applyAlignment="1">
      <alignment horizontal="right" vertical="center" indent="1"/>
    </xf>
    <xf numFmtId="173" fontId="37" fillId="0" borderId="65" xfId="0" applyNumberFormat="1" applyFont="1" applyBorder="1" applyAlignment="1">
      <alignment horizontal="right" vertical="center" indent="1"/>
    </xf>
    <xf numFmtId="0" fontId="19" fillId="2" borderId="2" xfId="0" applyFont="1" applyFill="1" applyBorder="1" applyAlignment="1">
      <alignment horizontal="center" vertical="center"/>
    </xf>
    <xf numFmtId="0" fontId="9" fillId="18" borderId="10" xfId="0" applyFont="1" applyFill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right" vertical="center" indent="1"/>
    </xf>
    <xf numFmtId="165" fontId="10" fillId="0" borderId="67" xfId="0" applyNumberFormat="1" applyFont="1" applyBorder="1" applyAlignment="1">
      <alignment horizontal="right" vertical="center" indent="1"/>
    </xf>
    <xf numFmtId="0" fontId="31" fillId="5" borderId="68" xfId="0" applyFont="1" applyFill="1" applyBorder="1" applyAlignment="1">
      <alignment horizontal="center" vertical="center"/>
    </xf>
    <xf numFmtId="165" fontId="10" fillId="5" borderId="3" xfId="0" applyNumberFormat="1" applyFont="1" applyFill="1" applyBorder="1" applyAlignment="1">
      <alignment horizontal="right" vertical="center" indent="1"/>
    </xf>
    <xf numFmtId="165" fontId="10" fillId="5" borderId="69" xfId="0" applyNumberFormat="1" applyFont="1" applyFill="1" applyBorder="1" applyAlignment="1">
      <alignment horizontal="right" vertical="center" indent="1"/>
    </xf>
    <xf numFmtId="0" fontId="9" fillId="18" borderId="37" xfId="0" applyFont="1" applyFill="1" applyBorder="1" applyAlignment="1">
      <alignment horizontal="center" vertical="center"/>
    </xf>
    <xf numFmtId="0" fontId="9" fillId="18" borderId="49" xfId="0" applyFont="1" applyFill="1" applyBorder="1" applyAlignment="1">
      <alignment horizontal="center" vertical="center"/>
    </xf>
    <xf numFmtId="0" fontId="9" fillId="18" borderId="7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0" xfId="0" applyFont="1"/>
    <xf numFmtId="165" fontId="10" fillId="5" borderId="4" xfId="0" applyNumberFormat="1" applyFont="1" applyFill="1" applyBorder="1" applyAlignment="1">
      <alignment horizontal="right" vertical="center" indent="1"/>
    </xf>
    <xf numFmtId="10" fontId="10" fillId="5" borderId="2" xfId="0" applyNumberFormat="1" applyFont="1" applyFill="1" applyBorder="1" applyAlignment="1">
      <alignment horizontal="right" vertical="center" indent="1"/>
    </xf>
    <xf numFmtId="10" fontId="10" fillId="5" borderId="3" xfId="0" applyNumberFormat="1" applyFont="1" applyFill="1" applyBorder="1" applyAlignment="1">
      <alignment horizontal="right" vertical="center" indent="1"/>
    </xf>
    <xf numFmtId="10" fontId="10" fillId="5" borderId="4" xfId="0" applyNumberFormat="1" applyFont="1" applyFill="1" applyBorder="1" applyAlignment="1">
      <alignment horizontal="right" vertical="center" indent="1"/>
    </xf>
    <xf numFmtId="0" fontId="9" fillId="0" borderId="71" xfId="0" applyFont="1" applyBorder="1" applyAlignment="1">
      <alignment horizontal="center" vertical="center"/>
    </xf>
    <xf numFmtId="0" fontId="10" fillId="0" borderId="0" xfId="0" applyFont="1" applyBorder="1"/>
    <xf numFmtId="10" fontId="10" fillId="0" borderId="0" xfId="0" applyNumberFormat="1" applyFont="1" applyBorder="1" applyAlignment="1">
      <alignment horizontal="right" vertical="center" indent="1"/>
    </xf>
    <xf numFmtId="10" fontId="10" fillId="0" borderId="72" xfId="0" applyNumberFormat="1" applyFont="1" applyBorder="1" applyAlignment="1">
      <alignment horizontal="right" vertical="center" indent="1"/>
    </xf>
    <xf numFmtId="0" fontId="9" fillId="5" borderId="73" xfId="0" applyFont="1" applyFill="1" applyBorder="1" applyAlignment="1">
      <alignment horizontal="center" vertical="center"/>
    </xf>
    <xf numFmtId="10" fontId="10" fillId="5" borderId="74" xfId="0" applyNumberFormat="1" applyFont="1" applyFill="1" applyBorder="1" applyAlignment="1">
      <alignment horizontal="right" vertical="center" indent="1"/>
    </xf>
    <xf numFmtId="0" fontId="9" fillId="5" borderId="75" xfId="0" applyFont="1" applyFill="1" applyBorder="1" applyAlignment="1">
      <alignment horizontal="center" vertical="center"/>
    </xf>
    <xf numFmtId="165" fontId="10" fillId="5" borderId="76" xfId="0" applyNumberFormat="1" applyFont="1" applyFill="1" applyBorder="1" applyAlignment="1">
      <alignment horizontal="right" vertical="center" indent="1"/>
    </xf>
    <xf numFmtId="165" fontId="10" fillId="5" borderId="77" xfId="0" applyNumberFormat="1" applyFont="1" applyFill="1" applyBorder="1" applyAlignment="1">
      <alignment horizontal="right" vertical="center" indent="1"/>
    </xf>
    <xf numFmtId="0" fontId="10" fillId="0" borderId="78" xfId="0" applyFont="1" applyBorder="1"/>
    <xf numFmtId="10" fontId="10" fillId="5" borderId="79" xfId="0" applyNumberFormat="1" applyFont="1" applyFill="1" applyBorder="1" applyAlignment="1">
      <alignment horizontal="right" vertical="center" indent="1"/>
    </xf>
    <xf numFmtId="10" fontId="10" fillId="5" borderId="76" xfId="0" applyNumberFormat="1" applyFont="1" applyFill="1" applyBorder="1" applyAlignment="1">
      <alignment horizontal="right" vertical="center" indent="1"/>
    </xf>
    <xf numFmtId="10" fontId="10" fillId="5" borderId="77" xfId="0" applyNumberFormat="1" applyFont="1" applyFill="1" applyBorder="1" applyAlignment="1">
      <alignment horizontal="right" vertical="center" indent="1"/>
    </xf>
    <xf numFmtId="10" fontId="10" fillId="5" borderId="80" xfId="0" applyNumberFormat="1" applyFont="1" applyFill="1" applyBorder="1" applyAlignment="1">
      <alignment horizontal="right" vertical="center" indent="1"/>
    </xf>
    <xf numFmtId="0" fontId="9" fillId="18" borderId="70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right" vertical="center"/>
    </xf>
    <xf numFmtId="0" fontId="64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74" fillId="0" borderId="0" xfId="0" applyFont="1"/>
    <xf numFmtId="0" fontId="9" fillId="0" borderId="81" xfId="0" applyFont="1" applyBorder="1" applyAlignment="1">
      <alignment vertical="center"/>
    </xf>
    <xf numFmtId="174" fontId="9" fillId="0" borderId="81" xfId="0" applyNumberFormat="1" applyFont="1" applyBorder="1" applyAlignment="1">
      <alignment vertical="center"/>
    </xf>
    <xf numFmtId="174" fontId="10" fillId="26" borderId="81" xfId="0" applyNumberFormat="1" applyFont="1" applyFill="1" applyBorder="1" applyAlignment="1">
      <alignment vertical="center"/>
    </xf>
    <xf numFmtId="0" fontId="10" fillId="0" borderId="81" xfId="0" applyFont="1" applyBorder="1" applyAlignment="1">
      <alignment vertical="center"/>
    </xf>
    <xf numFmtId="174" fontId="10" fillId="0" borderId="81" xfId="0" applyNumberFormat="1" applyFont="1" applyBorder="1" applyAlignment="1">
      <alignment vertical="center"/>
    </xf>
    <xf numFmtId="0" fontId="67" fillId="0" borderId="81" xfId="0" applyFont="1" applyFill="1" applyBorder="1" applyAlignment="1">
      <alignment vertical="center"/>
    </xf>
    <xf numFmtId="174" fontId="68" fillId="0" borderId="81" xfId="0" applyNumberFormat="1" applyFont="1" applyBorder="1" applyAlignment="1">
      <alignment vertical="center"/>
    </xf>
    <xf numFmtId="174" fontId="69" fillId="26" borderId="81" xfId="0" applyNumberFormat="1" applyFont="1" applyFill="1" applyBorder="1" applyAlignment="1">
      <alignment vertical="center"/>
    </xf>
    <xf numFmtId="174" fontId="32" fillId="26" borderId="81" xfId="0" applyNumberFormat="1" applyFont="1" applyFill="1" applyBorder="1" applyAlignment="1">
      <alignment vertical="center"/>
    </xf>
    <xf numFmtId="0" fontId="70" fillId="0" borderId="81" xfId="0" applyFont="1" applyBorder="1" applyAlignment="1">
      <alignment vertical="center"/>
    </xf>
    <xf numFmtId="174" fontId="70" fillId="0" borderId="81" xfId="0" applyNumberFormat="1" applyFont="1" applyBorder="1" applyAlignment="1">
      <alignment vertical="center"/>
    </xf>
    <xf numFmtId="174" fontId="70" fillId="26" borderId="81" xfId="0" applyNumberFormat="1" applyFont="1" applyFill="1" applyBorder="1" applyAlignment="1">
      <alignment vertical="center"/>
    </xf>
    <xf numFmtId="0" fontId="72" fillId="0" borderId="82" xfId="0" applyFont="1" applyBorder="1" applyAlignment="1">
      <alignment vertical="center"/>
    </xf>
    <xf numFmtId="174" fontId="72" fillId="0" borderId="82" xfId="0" applyNumberFormat="1" applyFont="1" applyBorder="1" applyAlignment="1">
      <alignment vertical="center"/>
    </xf>
    <xf numFmtId="174" fontId="72" fillId="26" borderId="82" xfId="0" applyNumberFormat="1" applyFont="1" applyFill="1" applyBorder="1" applyAlignment="1">
      <alignment vertical="center"/>
    </xf>
    <xf numFmtId="174" fontId="10" fillId="23" borderId="81" xfId="0" applyNumberFormat="1" applyFont="1" applyFill="1" applyBorder="1" applyAlignment="1">
      <alignment vertical="center"/>
    </xf>
    <xf numFmtId="174" fontId="67" fillId="0" borderId="81" xfId="0" applyNumberFormat="1" applyFont="1" applyFill="1" applyBorder="1" applyAlignment="1">
      <alignment vertical="center"/>
    </xf>
    <xf numFmtId="174" fontId="69" fillId="23" borderId="81" xfId="0" applyNumberFormat="1" applyFont="1" applyFill="1" applyBorder="1" applyAlignment="1">
      <alignment vertical="center"/>
    </xf>
    <xf numFmtId="174" fontId="32" fillId="23" borderId="81" xfId="0" applyNumberFormat="1" applyFont="1" applyFill="1" applyBorder="1" applyAlignment="1">
      <alignment vertical="center"/>
    </xf>
    <xf numFmtId="174" fontId="73" fillId="0" borderId="82" xfId="0" applyNumberFormat="1" applyFont="1" applyBorder="1" applyAlignment="1">
      <alignment vertical="center"/>
    </xf>
    <xf numFmtId="0" fontId="63" fillId="0" borderId="0" xfId="0" applyFont="1" applyAlignment="1">
      <alignment horizontal="right" vertical="center"/>
    </xf>
    <xf numFmtId="0" fontId="76" fillId="27" borderId="93" xfId="0" applyFont="1" applyFill="1" applyBorder="1" applyAlignment="1">
      <alignment horizontal="center" vertical="center" wrapText="1"/>
    </xf>
    <xf numFmtId="0" fontId="76" fillId="28" borderId="95" xfId="0" applyFont="1" applyFill="1" applyBorder="1" applyAlignment="1">
      <alignment horizontal="center" vertical="center"/>
    </xf>
    <xf numFmtId="167" fontId="77" fillId="0" borderId="96" xfId="0" applyNumberFormat="1" applyFont="1" applyFill="1" applyBorder="1" applyAlignment="1">
      <alignment horizontal="center" vertical="center"/>
    </xf>
    <xf numFmtId="167" fontId="78" fillId="29" borderId="96" xfId="0" applyNumberFormat="1" applyFont="1" applyFill="1" applyBorder="1" applyAlignment="1">
      <alignment horizontal="center" vertical="center" wrapText="1"/>
    </xf>
    <xf numFmtId="167" fontId="77" fillId="0" borderId="97" xfId="0" applyNumberFormat="1" applyFont="1" applyFill="1" applyBorder="1" applyAlignment="1">
      <alignment horizontal="center" vertical="center"/>
    </xf>
    <xf numFmtId="167" fontId="78" fillId="29" borderId="98" xfId="0" applyNumberFormat="1" applyFont="1" applyFill="1" applyBorder="1" applyAlignment="1">
      <alignment horizontal="center" vertical="center" wrapText="1"/>
    </xf>
    <xf numFmtId="167" fontId="78" fillId="29" borderId="99" xfId="0" applyNumberFormat="1" applyFont="1" applyFill="1" applyBorder="1" applyAlignment="1">
      <alignment horizontal="center" vertical="center" wrapText="1"/>
    </xf>
    <xf numFmtId="0" fontId="76" fillId="28" borderId="100" xfId="0" applyFont="1" applyFill="1" applyBorder="1" applyAlignment="1">
      <alignment horizontal="center" vertical="center"/>
    </xf>
    <xf numFmtId="167" fontId="77" fillId="0" borderId="101" xfId="0" applyNumberFormat="1" applyFont="1" applyFill="1" applyBorder="1" applyAlignment="1">
      <alignment horizontal="center" vertical="center"/>
    </xf>
    <xf numFmtId="167" fontId="78" fillId="29" borderId="101" xfId="0" applyNumberFormat="1" applyFont="1" applyFill="1" applyBorder="1" applyAlignment="1">
      <alignment horizontal="center" vertical="center" wrapText="1"/>
    </xf>
    <xf numFmtId="167" fontId="77" fillId="0" borderId="102" xfId="0" applyNumberFormat="1" applyFont="1" applyFill="1" applyBorder="1" applyAlignment="1">
      <alignment horizontal="center" vertical="center"/>
    </xf>
    <xf numFmtId="167" fontId="78" fillId="29" borderId="103" xfId="0" applyNumberFormat="1" applyFont="1" applyFill="1" applyBorder="1" applyAlignment="1">
      <alignment horizontal="center" vertical="center" wrapText="1"/>
    </xf>
    <xf numFmtId="167" fontId="78" fillId="29" borderId="104" xfId="0" applyNumberFormat="1" applyFont="1" applyFill="1" applyBorder="1" applyAlignment="1">
      <alignment horizontal="center" vertical="center" wrapText="1"/>
    </xf>
    <xf numFmtId="0" fontId="76" fillId="28" borderId="105" xfId="0" applyFont="1" applyFill="1" applyBorder="1" applyAlignment="1">
      <alignment horizontal="center" vertical="center"/>
    </xf>
    <xf numFmtId="167" fontId="77" fillId="0" borderId="106" xfId="0" applyNumberFormat="1" applyFont="1" applyFill="1" applyBorder="1" applyAlignment="1">
      <alignment horizontal="center" vertical="center"/>
    </xf>
    <xf numFmtId="167" fontId="78" fillId="0" borderId="101" xfId="0" applyNumberFormat="1" applyFont="1" applyFill="1" applyBorder="1" applyAlignment="1">
      <alignment horizontal="center" vertical="center"/>
    </xf>
    <xf numFmtId="167" fontId="77" fillId="0" borderId="101" xfId="0" applyNumberFormat="1" applyFont="1" applyFill="1" applyBorder="1" applyAlignment="1">
      <alignment horizontal="center" vertical="center" wrapText="1"/>
    </xf>
    <xf numFmtId="167" fontId="78" fillId="0" borderId="102" xfId="0" applyNumberFormat="1" applyFont="1" applyFill="1" applyBorder="1" applyAlignment="1">
      <alignment horizontal="center" vertical="center"/>
    </xf>
    <xf numFmtId="167" fontId="78" fillId="29" borderId="101" xfId="0" applyNumberFormat="1" applyFont="1" applyFill="1" applyBorder="1" applyAlignment="1">
      <alignment horizontal="center" vertical="center"/>
    </xf>
    <xf numFmtId="167" fontId="78" fillId="29" borderId="102" xfId="0" applyNumberFormat="1" applyFont="1" applyFill="1" applyBorder="1" applyAlignment="1">
      <alignment horizontal="center" vertical="center"/>
    </xf>
    <xf numFmtId="167" fontId="78" fillId="29" borderId="106" xfId="0" applyNumberFormat="1" applyFont="1" applyFill="1" applyBorder="1" applyAlignment="1">
      <alignment horizontal="center" vertical="center"/>
    </xf>
    <xf numFmtId="0" fontId="76" fillId="28" borderId="107" xfId="0" applyFont="1" applyFill="1" applyBorder="1" applyAlignment="1">
      <alignment horizontal="center" vertical="center"/>
    </xf>
    <xf numFmtId="167" fontId="78" fillId="29" borderId="103" xfId="0" applyNumberFormat="1" applyFont="1" applyFill="1" applyBorder="1" applyAlignment="1">
      <alignment horizontal="center" vertical="center"/>
    </xf>
    <xf numFmtId="167" fontId="78" fillId="29" borderId="104" xfId="0" applyNumberFormat="1" applyFont="1" applyFill="1" applyBorder="1" applyAlignment="1">
      <alignment horizontal="center" vertical="center"/>
    </xf>
    <xf numFmtId="167" fontId="77" fillId="0" borderId="103" xfId="0" applyNumberFormat="1" applyFont="1" applyFill="1" applyBorder="1" applyAlignment="1">
      <alignment horizontal="center" vertical="center"/>
    </xf>
    <xf numFmtId="167" fontId="77" fillId="0" borderId="104" xfId="0" applyNumberFormat="1" applyFont="1" applyFill="1" applyBorder="1" applyAlignment="1">
      <alignment horizontal="center" vertical="center"/>
    </xf>
    <xf numFmtId="0" fontId="31" fillId="0" borderId="108" xfId="0" applyFont="1" applyFill="1" applyBorder="1" applyAlignment="1">
      <alignment horizontal="center" vertical="center"/>
    </xf>
    <xf numFmtId="167" fontId="78" fillId="0" borderId="103" xfId="0" applyNumberFormat="1" applyFont="1" applyFill="1" applyBorder="1" applyAlignment="1">
      <alignment horizontal="center" vertical="center"/>
    </xf>
    <xf numFmtId="167" fontId="78" fillId="0" borderId="104" xfId="0" applyNumberFormat="1" applyFont="1" applyFill="1" applyBorder="1" applyAlignment="1">
      <alignment horizontal="center" vertical="center"/>
    </xf>
    <xf numFmtId="0" fontId="31" fillId="0" borderId="109" xfId="0" applyFont="1" applyFill="1" applyBorder="1" applyAlignment="1">
      <alignment horizontal="center" vertical="center"/>
    </xf>
    <xf numFmtId="0" fontId="31" fillId="0" borderId="110" xfId="0" applyFont="1" applyFill="1" applyBorder="1" applyAlignment="1">
      <alignment horizontal="center" vertical="center"/>
    </xf>
    <xf numFmtId="167" fontId="78" fillId="29" borderId="111" xfId="0" applyNumberFormat="1" applyFont="1" applyFill="1" applyBorder="1" applyAlignment="1">
      <alignment horizontal="center" vertical="center"/>
    </xf>
    <xf numFmtId="167" fontId="78" fillId="0" borderId="111" xfId="0" applyNumberFormat="1" applyFont="1" applyFill="1" applyBorder="1" applyAlignment="1">
      <alignment horizontal="center" vertical="center"/>
    </xf>
    <xf numFmtId="167" fontId="78" fillId="29" borderId="112" xfId="0" applyNumberFormat="1" applyFont="1" applyFill="1" applyBorder="1" applyAlignment="1">
      <alignment horizontal="center" vertical="center"/>
    </xf>
    <xf numFmtId="167" fontId="78" fillId="0" borderId="113" xfId="0" applyNumberFormat="1" applyFont="1" applyFill="1" applyBorder="1" applyAlignment="1">
      <alignment horizontal="center" vertical="center"/>
    </xf>
    <xf numFmtId="167" fontId="78" fillId="0" borderId="114" xfId="0" applyNumberFormat="1" applyFont="1" applyFill="1" applyBorder="1" applyAlignment="1">
      <alignment horizontal="center" vertical="center"/>
    </xf>
    <xf numFmtId="167" fontId="77" fillId="0" borderId="115" xfId="0" applyNumberFormat="1" applyFont="1" applyFill="1" applyBorder="1" applyAlignment="1">
      <alignment horizontal="center" vertical="center"/>
    </xf>
    <xf numFmtId="167" fontId="78" fillId="29" borderId="116" xfId="0" applyNumberFormat="1" applyFont="1" applyFill="1" applyBorder="1" applyAlignment="1">
      <alignment horizontal="center" vertical="center" wrapText="1"/>
    </xf>
    <xf numFmtId="167" fontId="77" fillId="0" borderId="117" xfId="0" applyNumberFormat="1" applyFont="1" applyFill="1" applyBorder="1" applyAlignment="1">
      <alignment horizontal="center" vertical="center"/>
    </xf>
    <xf numFmtId="167" fontId="78" fillId="29" borderId="118" xfId="0" applyNumberFormat="1" applyFont="1" applyFill="1" applyBorder="1" applyAlignment="1">
      <alignment horizontal="center" vertical="center" wrapText="1"/>
    </xf>
    <xf numFmtId="167" fontId="77" fillId="0" borderId="116" xfId="0" applyNumberFormat="1" applyFont="1" applyFill="1" applyBorder="1" applyAlignment="1">
      <alignment horizontal="center" vertical="center"/>
    </xf>
    <xf numFmtId="167" fontId="78" fillId="29" borderId="119" xfId="0" applyNumberFormat="1" applyFont="1" applyFill="1" applyBorder="1" applyAlignment="1">
      <alignment horizontal="center" vertical="center" wrapText="1"/>
    </xf>
    <xf numFmtId="167" fontId="78" fillId="0" borderId="101" xfId="0" applyNumberFormat="1" applyFont="1" applyFill="1" applyBorder="1" applyAlignment="1">
      <alignment horizontal="center" vertical="center" wrapText="1"/>
    </xf>
    <xf numFmtId="167" fontId="78" fillId="0" borderId="106" xfId="0" applyNumberFormat="1" applyFont="1" applyFill="1" applyBorder="1" applyAlignment="1">
      <alignment horizontal="center" vertical="center"/>
    </xf>
    <xf numFmtId="167" fontId="78" fillId="29" borderId="120" xfId="0" applyNumberFormat="1" applyFont="1" applyFill="1" applyBorder="1" applyAlignment="1">
      <alignment horizontal="center" vertical="center"/>
    </xf>
    <xf numFmtId="0" fontId="31" fillId="0" borderId="121" xfId="0" applyFont="1" applyFill="1" applyBorder="1" applyAlignment="1">
      <alignment horizontal="center" vertical="center"/>
    </xf>
    <xf numFmtId="167" fontId="78" fillId="29" borderId="122" xfId="0" applyNumberFormat="1" applyFont="1" applyFill="1" applyBorder="1" applyAlignment="1">
      <alignment horizontal="center" vertical="center"/>
    </xf>
    <xf numFmtId="167" fontId="78" fillId="0" borderId="123" xfId="0" applyNumberFormat="1" applyFont="1" applyFill="1" applyBorder="1" applyAlignment="1">
      <alignment horizontal="center" vertical="center"/>
    </xf>
    <xf numFmtId="167" fontId="78" fillId="29" borderId="124" xfId="0" applyNumberFormat="1" applyFont="1" applyFill="1" applyBorder="1" applyAlignment="1">
      <alignment horizontal="center" vertical="center"/>
    </xf>
    <xf numFmtId="167" fontId="78" fillId="0" borderId="125" xfId="0" applyNumberFormat="1" applyFont="1" applyFill="1" applyBorder="1" applyAlignment="1">
      <alignment horizontal="center" vertical="center"/>
    </xf>
    <xf numFmtId="167" fontId="78" fillId="29" borderId="123" xfId="0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0" fontId="52" fillId="23" borderId="0" xfId="0" applyFont="1" applyFill="1" applyAlignment="1">
      <alignment horizontal="center" vertical="center"/>
    </xf>
    <xf numFmtId="164" fontId="5" fillId="23" borderId="0" xfId="0" applyNumberFormat="1" applyFont="1" applyFill="1" applyAlignment="1">
      <alignment horizontal="right" vertical="center"/>
    </xf>
    <xf numFmtId="164" fontId="5" fillId="0" borderId="0" xfId="0" applyNumberFormat="1" applyFont="1" applyAlignment="1">
      <alignment vertical="center"/>
    </xf>
    <xf numFmtId="0" fontId="6" fillId="23" borderId="0" xfId="0" applyFont="1" applyFill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64" fontId="5" fillId="0" borderId="126" xfId="0" applyNumberFormat="1" applyFont="1" applyBorder="1" applyAlignment="1">
      <alignment vertical="center"/>
    </xf>
    <xf numFmtId="0" fontId="22" fillId="6" borderId="0" xfId="0" applyFont="1" applyFill="1" applyBorder="1" applyAlignment="1">
      <alignment horizontal="center" vertical="center" wrapText="1"/>
    </xf>
    <xf numFmtId="0" fontId="22" fillId="6" borderId="127" xfId="0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3" borderId="0" xfId="0" applyFont="1" applyFill="1" applyAlignment="1">
      <alignment horizontal="center"/>
    </xf>
    <xf numFmtId="0" fontId="9" fillId="23" borderId="128" xfId="0" applyFont="1" applyFill="1" applyBorder="1" applyAlignment="1">
      <alignment horizontal="center"/>
    </xf>
    <xf numFmtId="0" fontId="9" fillId="23" borderId="0" xfId="0" applyFont="1" applyFill="1" applyAlignment="1">
      <alignment horizontal="center"/>
    </xf>
    <xf numFmtId="0" fontId="80" fillId="0" borderId="0" xfId="0" applyFont="1" applyFill="1" applyBorder="1"/>
    <xf numFmtId="0" fontId="22" fillId="2" borderId="2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left" vertical="center" indent="1"/>
    </xf>
    <xf numFmtId="0" fontId="22" fillId="2" borderId="57" xfId="0" applyFont="1" applyFill="1" applyBorder="1" applyAlignment="1">
      <alignment horizontal="left" vertical="center" indent="1"/>
    </xf>
    <xf numFmtId="0" fontId="56" fillId="0" borderId="0" xfId="0" applyFont="1" applyFill="1" applyBorder="1" applyAlignment="1">
      <alignment horizontal="left" indent="1"/>
    </xf>
    <xf numFmtId="0" fontId="22" fillId="2" borderId="0" xfId="0" applyFont="1" applyFill="1" applyBorder="1" applyAlignment="1">
      <alignment horizontal="left" vertical="center" indent="1"/>
    </xf>
    <xf numFmtId="0" fontId="22" fillId="2" borderId="70" xfId="0" applyFont="1" applyFill="1" applyBorder="1" applyAlignment="1">
      <alignment horizontal="left" vertical="center" indent="1"/>
    </xf>
    <xf numFmtId="168" fontId="81" fillId="0" borderId="59" xfId="0" applyNumberFormat="1" applyFont="1" applyFill="1" applyBorder="1" applyAlignment="1">
      <alignment horizontal="right" vertical="center" wrapText="1" indent="1"/>
    </xf>
    <xf numFmtId="168" fontId="82" fillId="0" borderId="134" xfId="0" applyNumberFormat="1" applyFont="1" applyFill="1" applyBorder="1" applyAlignment="1">
      <alignment horizontal="right" vertical="center" wrapText="1" indent="1"/>
    </xf>
    <xf numFmtId="168" fontId="81" fillId="23" borderId="3" xfId="0" applyNumberFormat="1" applyFont="1" applyFill="1" applyBorder="1" applyAlignment="1">
      <alignment horizontal="right" vertical="center" wrapText="1" indent="1"/>
    </xf>
    <xf numFmtId="168" fontId="83" fillId="23" borderId="3" xfId="0" applyNumberFormat="1" applyFont="1" applyFill="1" applyBorder="1" applyAlignment="1">
      <alignment horizontal="right" vertical="center" wrapText="1" indent="1"/>
    </xf>
    <xf numFmtId="168" fontId="83" fillId="23" borderId="4" xfId="0" applyNumberFormat="1" applyFont="1" applyFill="1" applyBorder="1" applyAlignment="1">
      <alignment horizontal="right" vertical="center" wrapText="1" indent="1"/>
    </xf>
    <xf numFmtId="0" fontId="83" fillId="0" borderId="0" xfId="0" applyFont="1" applyFill="1" applyBorder="1" applyAlignment="1">
      <alignment horizontal="right" vertical="center" wrapText="1" indent="1"/>
    </xf>
    <xf numFmtId="9" fontId="9" fillId="23" borderId="3" xfId="3" applyFont="1" applyFill="1" applyBorder="1" applyAlignment="1">
      <alignment horizontal="right" vertical="center" indent="1"/>
    </xf>
    <xf numFmtId="9" fontId="10" fillId="23" borderId="3" xfId="3" applyFont="1" applyFill="1" applyBorder="1" applyAlignment="1">
      <alignment horizontal="right" vertical="center" indent="1"/>
    </xf>
    <xf numFmtId="9" fontId="10" fillId="23" borderId="4" xfId="3" applyFont="1" applyFill="1" applyBorder="1" applyAlignment="1">
      <alignment horizontal="right" vertical="center" indent="1"/>
    </xf>
    <xf numFmtId="9" fontId="9" fillId="0" borderId="62" xfId="0" applyNumberFormat="1" applyFont="1" applyFill="1" applyBorder="1" applyAlignment="1">
      <alignment horizontal="right" vertical="center" indent="1"/>
    </xf>
    <xf numFmtId="9" fontId="10" fillId="0" borderId="63" xfId="0" applyNumberFormat="1" applyFont="1" applyFill="1" applyBorder="1" applyAlignment="1">
      <alignment horizontal="right" vertical="center" indent="1"/>
    </xf>
    <xf numFmtId="0" fontId="7" fillId="5" borderId="8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5" fillId="0" borderId="11" xfId="0" applyFont="1" applyBorder="1" applyAlignment="1">
      <alignment vertical="center"/>
    </xf>
    <xf numFmtId="165" fontId="5" fillId="0" borderId="11" xfId="0" applyNumberFormat="1" applyFont="1" applyBorder="1" applyAlignment="1">
      <alignment horizontal="right" vertical="center"/>
    </xf>
    <xf numFmtId="165" fontId="5" fillId="0" borderId="11" xfId="0" applyNumberFormat="1" applyFont="1" applyBorder="1" applyAlignment="1">
      <alignment horizontal="right" vertical="center" wrapText="1"/>
    </xf>
    <xf numFmtId="0" fontId="4" fillId="5" borderId="2" xfId="0" applyFont="1" applyFill="1" applyBorder="1" applyAlignment="1">
      <alignment horizontal="right" vertical="center"/>
    </xf>
    <xf numFmtId="165" fontId="4" fillId="5" borderId="3" xfId="0" applyNumberFormat="1" applyFont="1" applyFill="1" applyBorder="1" applyAlignment="1">
      <alignment horizontal="right" vertical="center"/>
    </xf>
    <xf numFmtId="165" fontId="4" fillId="5" borderId="4" xfId="0" applyNumberFormat="1" applyFont="1" applyFill="1" applyBorder="1" applyAlignment="1">
      <alignment horizontal="right" vertical="center" wrapText="1"/>
    </xf>
    <xf numFmtId="0" fontId="4" fillId="5" borderId="8" xfId="0" applyFont="1" applyFill="1" applyBorder="1" applyAlignment="1">
      <alignment horizontal="right" vertical="center"/>
    </xf>
    <xf numFmtId="166" fontId="5" fillId="5" borderId="9" xfId="0" applyNumberFormat="1" applyFont="1" applyFill="1" applyBorder="1" applyAlignment="1">
      <alignment vertical="center"/>
    </xf>
    <xf numFmtId="166" fontId="5" fillId="5" borderId="10" xfId="0" applyNumberFormat="1" applyFont="1" applyFill="1" applyBorder="1" applyAlignment="1">
      <alignment vertical="center"/>
    </xf>
    <xf numFmtId="0" fontId="5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167" fontId="5" fillId="0" borderId="135" xfId="0" applyNumberFormat="1" applyFont="1" applyBorder="1" applyAlignment="1">
      <alignment horizontal="right" vertical="center" indent="2"/>
    </xf>
    <xf numFmtId="167" fontId="5" fillId="0" borderId="136" xfId="0" applyNumberFormat="1" applyFont="1" applyBorder="1" applyAlignment="1">
      <alignment horizontal="right" vertical="center" indent="2"/>
    </xf>
    <xf numFmtId="167" fontId="5" fillId="0" borderId="0" xfId="0" applyNumberFormat="1" applyFont="1" applyBorder="1" applyAlignment="1">
      <alignment horizontal="right" vertical="center" indent="2"/>
    </xf>
    <xf numFmtId="167" fontId="5" fillId="0" borderId="137" xfId="0" applyNumberFormat="1" applyFont="1" applyBorder="1" applyAlignment="1">
      <alignment horizontal="right" vertical="center" indent="2"/>
    </xf>
    <xf numFmtId="167" fontId="5" fillId="0" borderId="138" xfId="0" applyNumberFormat="1" applyFont="1" applyBorder="1" applyAlignment="1">
      <alignment horizontal="right" vertical="center" indent="2"/>
    </xf>
    <xf numFmtId="165" fontId="5" fillId="0" borderId="0" xfId="0" applyNumberFormat="1" applyFont="1" applyBorder="1" applyAlignment="1">
      <alignment horizontal="right" indent="1"/>
    </xf>
    <xf numFmtId="0" fontId="84" fillId="0" borderId="0" xfId="0" applyFont="1"/>
    <xf numFmtId="164" fontId="7" fillId="5" borderId="6" xfId="0" applyNumberFormat="1" applyFont="1" applyFill="1" applyBorder="1" applyAlignment="1">
      <alignment vertical="center"/>
    </xf>
    <xf numFmtId="164" fontId="7" fillId="5" borderId="7" xfId="0" applyNumberFormat="1" applyFont="1" applyFill="1" applyBorder="1" applyAlignment="1">
      <alignment vertical="center"/>
    </xf>
    <xf numFmtId="49" fontId="8" fillId="0" borderId="0" xfId="0" applyNumberFormat="1" applyFont="1" applyAlignment="1">
      <alignment vertical="center"/>
    </xf>
    <xf numFmtId="10" fontId="7" fillId="5" borderId="5" xfId="0" applyNumberFormat="1" applyFont="1" applyFill="1" applyBorder="1" applyAlignment="1">
      <alignment vertical="center"/>
    </xf>
    <xf numFmtId="10" fontId="7" fillId="5" borderId="7" xfId="0" applyNumberFormat="1" applyFont="1" applyFill="1" applyBorder="1" applyAlignment="1">
      <alignment vertical="center"/>
    </xf>
    <xf numFmtId="10" fontId="7" fillId="5" borderId="6" xfId="0" applyNumberFormat="1" applyFont="1" applyFill="1" applyBorder="1" applyAlignment="1">
      <alignment vertical="center"/>
    </xf>
    <xf numFmtId="0" fontId="9" fillId="5" borderId="18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166" fontId="5" fillId="0" borderId="139" xfId="0" applyNumberFormat="1" applyFont="1" applyBorder="1" applyAlignment="1">
      <alignment horizontal="right" indent="1"/>
    </xf>
    <xf numFmtId="166" fontId="5" fillId="0" borderId="140" xfId="0" applyNumberFormat="1" applyFont="1" applyBorder="1" applyAlignment="1">
      <alignment horizontal="right" indent="1"/>
    </xf>
    <xf numFmtId="0" fontId="4" fillId="0" borderId="0" xfId="0" applyFont="1" applyAlignment="1">
      <alignment vertical="center"/>
    </xf>
    <xf numFmtId="167" fontId="5" fillId="0" borderId="0" xfId="0" applyNumberFormat="1" applyFont="1" applyAlignment="1">
      <alignment horizontal="right" vertical="center" indent="1"/>
    </xf>
    <xf numFmtId="0" fontId="4" fillId="5" borderId="2" xfId="0" applyFont="1" applyFill="1" applyBorder="1" applyAlignment="1">
      <alignment vertical="center"/>
    </xf>
    <xf numFmtId="167" fontId="5" fillId="5" borderId="3" xfId="0" applyNumberFormat="1" applyFont="1" applyFill="1" applyBorder="1" applyAlignment="1">
      <alignment horizontal="right" vertical="center" indent="1"/>
    </xf>
    <xf numFmtId="167" fontId="5" fillId="5" borderId="4" xfId="0" applyNumberFormat="1" applyFont="1" applyFill="1" applyBorder="1" applyAlignment="1">
      <alignment horizontal="right" vertical="center" indent="1"/>
    </xf>
    <xf numFmtId="0" fontId="4" fillId="6" borderId="2" xfId="0" applyFont="1" applyFill="1" applyBorder="1" applyAlignment="1">
      <alignment vertical="center"/>
    </xf>
    <xf numFmtId="167" fontId="4" fillId="6" borderId="3" xfId="0" applyNumberFormat="1" applyFont="1" applyFill="1" applyBorder="1" applyAlignment="1">
      <alignment horizontal="right" vertical="center" indent="1"/>
    </xf>
    <xf numFmtId="167" fontId="4" fillId="6" borderId="4" xfId="0" applyNumberFormat="1" applyFont="1" applyFill="1" applyBorder="1" applyAlignment="1">
      <alignment horizontal="right" vertical="center" indent="1"/>
    </xf>
    <xf numFmtId="167" fontId="91" fillId="0" borderId="0" xfId="7" applyNumberFormat="1" applyFont="1" applyFill="1" applyBorder="1"/>
    <xf numFmtId="167" fontId="90" fillId="0" borderId="0" xfId="7" applyNumberFormat="1" applyFont="1" applyFill="1" applyBorder="1"/>
    <xf numFmtId="0" fontId="91" fillId="0" borderId="0" xfId="7" applyFont="1" applyFill="1" applyBorder="1"/>
    <xf numFmtId="0" fontId="9" fillId="19" borderId="0" xfId="7" applyFont="1" applyFill="1" applyAlignment="1">
      <alignment horizontal="center"/>
    </xf>
    <xf numFmtId="0" fontId="0" fillId="0" borderId="0" xfId="0" applyAlignment="1">
      <alignment vertical="center"/>
    </xf>
    <xf numFmtId="0" fontId="9" fillId="5" borderId="3" xfId="7" applyFont="1" applyFill="1" applyBorder="1" applyAlignment="1">
      <alignment horizontal="center"/>
    </xf>
    <xf numFmtId="0" fontId="9" fillId="19" borderId="152" xfId="7" applyFont="1" applyFill="1" applyBorder="1" applyAlignment="1">
      <alignment horizontal="center"/>
    </xf>
    <xf numFmtId="0" fontId="9" fillId="19" borderId="154" xfId="7" applyFont="1" applyFill="1" applyBorder="1" applyAlignment="1">
      <alignment horizontal="center"/>
    </xf>
    <xf numFmtId="0" fontId="9" fillId="19" borderId="156" xfId="7" applyFont="1" applyFill="1" applyBorder="1" applyAlignment="1">
      <alignment horizontal="center"/>
    </xf>
    <xf numFmtId="0" fontId="10" fillId="19" borderId="154" xfId="7" applyFont="1" applyFill="1" applyBorder="1" applyAlignment="1">
      <alignment horizontal="center"/>
    </xf>
    <xf numFmtId="0" fontId="10" fillId="19" borderId="156" xfId="7" applyFont="1" applyFill="1" applyBorder="1" applyAlignment="1">
      <alignment horizontal="center"/>
    </xf>
    <xf numFmtId="0" fontId="10" fillId="31" borderId="159" xfId="7" applyFont="1" applyFill="1" applyBorder="1" applyAlignment="1">
      <alignment horizontal="center"/>
    </xf>
    <xf numFmtId="175" fontId="9" fillId="5" borderId="4" xfId="7" applyNumberFormat="1" applyFont="1" applyFill="1" applyBorder="1" applyAlignment="1">
      <alignment horizontal="right" indent="1"/>
    </xf>
    <xf numFmtId="175" fontId="9" fillId="19" borderId="153" xfId="7" applyNumberFormat="1" applyFont="1" applyFill="1" applyBorder="1" applyAlignment="1">
      <alignment horizontal="right" indent="1"/>
    </xf>
    <xf numFmtId="175" fontId="9" fillId="19" borderId="155" xfId="7" applyNumberFormat="1" applyFont="1" applyFill="1" applyBorder="1" applyAlignment="1">
      <alignment horizontal="right" indent="1"/>
    </xf>
    <xf numFmtId="175" fontId="9" fillId="19" borderId="0" xfId="7" applyNumberFormat="1" applyFont="1" applyFill="1" applyBorder="1" applyAlignment="1">
      <alignment horizontal="right" indent="1"/>
    </xf>
    <xf numFmtId="175" fontId="9" fillId="19" borderId="157" xfId="7" applyNumberFormat="1" applyFont="1" applyFill="1" applyBorder="1" applyAlignment="1">
      <alignment horizontal="right" indent="1"/>
    </xf>
    <xf numFmtId="175" fontId="10" fillId="31" borderId="160" xfId="7" applyNumberFormat="1" applyFont="1" applyFill="1" applyBorder="1" applyAlignment="1">
      <alignment horizontal="right" indent="1"/>
    </xf>
    <xf numFmtId="175" fontId="10" fillId="19" borderId="155" xfId="7" applyNumberFormat="1" applyFont="1" applyFill="1" applyBorder="1" applyAlignment="1">
      <alignment horizontal="right" indent="1"/>
    </xf>
    <xf numFmtId="175" fontId="10" fillId="19" borderId="157" xfId="7" applyNumberFormat="1" applyFont="1" applyFill="1" applyBorder="1" applyAlignment="1">
      <alignment horizontal="right" indent="1"/>
    </xf>
    <xf numFmtId="0" fontId="9" fillId="0" borderId="0" xfId="0" applyFont="1" applyFill="1" applyBorder="1" applyAlignment="1">
      <alignment vertical="center"/>
    </xf>
    <xf numFmtId="0" fontId="0" fillId="0" borderId="0" xfId="0"/>
    <xf numFmtId="0" fontId="9" fillId="5" borderId="2" xfId="7" applyFont="1" applyFill="1" applyBorder="1" applyAlignment="1">
      <alignment horizontal="center" vertical="center"/>
    </xf>
    <xf numFmtId="0" fontId="9" fillId="5" borderId="162" xfId="7" applyFont="1" applyFill="1" applyBorder="1" applyAlignment="1">
      <alignment horizontal="center" vertical="center"/>
    </xf>
    <xf numFmtId="0" fontId="10" fillId="19" borderId="163" xfId="7" applyFont="1" applyFill="1" applyBorder="1" applyAlignment="1">
      <alignment horizontal="center" vertical="center"/>
    </xf>
    <xf numFmtId="175" fontId="10" fillId="19" borderId="163" xfId="7" applyNumberFormat="1" applyFont="1" applyFill="1" applyBorder="1" applyAlignment="1">
      <alignment horizontal="center" vertical="center"/>
    </xf>
    <xf numFmtId="0" fontId="10" fillId="19" borderId="140" xfId="7" applyFont="1" applyFill="1" applyBorder="1" applyAlignment="1">
      <alignment horizontal="center" vertical="center"/>
    </xf>
    <xf numFmtId="175" fontId="10" fillId="19" borderId="140" xfId="7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 indent="1"/>
    </xf>
    <xf numFmtId="165" fontId="8" fillId="0" borderId="0" xfId="0" applyNumberFormat="1" applyFont="1" applyFill="1" applyBorder="1" applyAlignment="1">
      <alignment horizontal="right" vertical="center" wrapText="1" indent="1"/>
    </xf>
    <xf numFmtId="0" fontId="7" fillId="5" borderId="2" xfId="0" applyFont="1" applyFill="1" applyBorder="1" applyAlignment="1">
      <alignment horizontal="left" vertical="center" wrapText="1" indent="1"/>
    </xf>
    <xf numFmtId="165" fontId="7" fillId="5" borderId="3" xfId="0" applyNumberFormat="1" applyFont="1" applyFill="1" applyBorder="1" applyAlignment="1">
      <alignment horizontal="right" vertical="center" indent="1"/>
    </xf>
    <xf numFmtId="165" fontId="7" fillId="5" borderId="4" xfId="0" applyNumberFormat="1" applyFont="1" applyFill="1" applyBorder="1" applyAlignment="1">
      <alignment horizontal="right" vertical="center" inden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8" fillId="0" borderId="165" xfId="0" applyFont="1" applyFill="1" applyBorder="1" applyAlignment="1">
      <alignment horizontal="left" vertical="center" wrapText="1" indent="1"/>
    </xf>
    <xf numFmtId="165" fontId="8" fillId="0" borderId="165" xfId="0" applyNumberFormat="1" applyFont="1" applyFill="1" applyBorder="1" applyAlignment="1">
      <alignment horizontal="right" vertical="center" wrapText="1" indent="1"/>
    </xf>
    <xf numFmtId="0" fontId="8" fillId="0" borderId="164" xfId="0" applyFont="1" applyFill="1" applyBorder="1" applyAlignment="1">
      <alignment horizontal="left" vertical="center" wrapText="1" indent="1"/>
    </xf>
    <xf numFmtId="165" fontId="8" fillId="0" borderId="164" xfId="0" applyNumberFormat="1" applyFont="1" applyFill="1" applyBorder="1" applyAlignment="1">
      <alignment horizontal="right" vertical="center" wrapText="1" indent="1"/>
    </xf>
    <xf numFmtId="0" fontId="8" fillId="23" borderId="166" xfId="0" applyFont="1" applyFill="1" applyBorder="1" applyAlignment="1">
      <alignment horizontal="left" vertical="center" wrapText="1" indent="1"/>
    </xf>
    <xf numFmtId="165" fontId="8" fillId="23" borderId="3" xfId="0" applyNumberFormat="1" applyFont="1" applyFill="1" applyBorder="1" applyAlignment="1">
      <alignment horizontal="right" vertical="center" wrapText="1" indent="1"/>
    </xf>
    <xf numFmtId="165" fontId="8" fillId="23" borderId="167" xfId="0" applyNumberFormat="1" applyFont="1" applyFill="1" applyBorder="1" applyAlignment="1">
      <alignment horizontal="right" vertical="center" wrapText="1" indent="1"/>
    </xf>
    <xf numFmtId="167" fontId="92" fillId="0" borderId="0" xfId="0" applyNumberFormat="1" applyFont="1"/>
    <xf numFmtId="0" fontId="4" fillId="0" borderId="0" xfId="0" applyFont="1" applyAlignment="1">
      <alignment horizontal="right" vertical="center"/>
    </xf>
    <xf numFmtId="167" fontId="10" fillId="5" borderId="9" xfId="0" applyNumberFormat="1" applyFont="1" applyFill="1" applyBorder="1" applyAlignment="1">
      <alignment horizontal="right" vertical="center" indent="1"/>
    </xf>
    <xf numFmtId="167" fontId="8" fillId="5" borderId="10" xfId="0" applyNumberFormat="1" applyFont="1" applyFill="1" applyBorder="1" applyAlignment="1">
      <alignment horizontal="right" vertical="center" indent="1"/>
    </xf>
    <xf numFmtId="0" fontId="7" fillId="0" borderId="0" xfId="0" applyFont="1" applyAlignment="1">
      <alignment horizontal="center" vertical="center"/>
    </xf>
    <xf numFmtId="167" fontId="10" fillId="0" borderId="0" xfId="0" applyNumberFormat="1" applyFont="1" applyBorder="1" applyAlignment="1">
      <alignment horizontal="right" vertical="center" indent="1"/>
    </xf>
    <xf numFmtId="167" fontId="8" fillId="0" borderId="0" xfId="0" applyNumberFormat="1" applyFont="1" applyAlignment="1">
      <alignment horizontal="right" vertical="center" indent="1"/>
    </xf>
    <xf numFmtId="0" fontId="8" fillId="0" borderId="0" xfId="0" applyFont="1" applyAlignment="1">
      <alignment horizontal="right" vertical="center" indent="1"/>
    </xf>
    <xf numFmtId="0" fontId="8" fillId="5" borderId="57" xfId="0" applyFont="1" applyFill="1" applyBorder="1" applyAlignment="1">
      <alignment horizontal="right" vertical="center" indent="1"/>
    </xf>
    <xf numFmtId="0" fontId="8" fillId="5" borderId="8" xfId="0" applyFont="1" applyFill="1" applyBorder="1" applyAlignment="1">
      <alignment horizontal="right" vertical="center" indent="1"/>
    </xf>
    <xf numFmtId="167" fontId="11" fillId="5" borderId="9" xfId="0" applyNumberFormat="1" applyFont="1" applyFill="1" applyBorder="1" applyAlignment="1">
      <alignment horizontal="right" vertical="center" indent="1"/>
    </xf>
    <xf numFmtId="167" fontId="11" fillId="5" borderId="10" xfId="0" applyNumberFormat="1" applyFont="1" applyFill="1" applyBorder="1" applyAlignment="1">
      <alignment horizontal="right" vertical="center" indent="1"/>
    </xf>
    <xf numFmtId="0" fontId="19" fillId="22" borderId="1" xfId="0" applyFont="1" applyFill="1" applyBorder="1" applyAlignment="1">
      <alignment horizontal="right" vertical="center" indent="1"/>
    </xf>
    <xf numFmtId="0" fontId="19" fillId="0" borderId="0" xfId="0" applyFont="1" applyFill="1" applyBorder="1" applyAlignment="1">
      <alignment horizontal="right" vertical="center" indent="1"/>
    </xf>
    <xf numFmtId="0" fontId="19" fillId="0" borderId="0" xfId="0" applyFont="1" applyFill="1" applyBorder="1" applyAlignment="1">
      <alignment horizontal="center" vertical="center"/>
    </xf>
    <xf numFmtId="0" fontId="93" fillId="0" borderId="0" xfId="11" applyFont="1" applyFill="1" applyBorder="1" applyAlignment="1">
      <alignment horizontal="center" vertical="center"/>
    </xf>
    <xf numFmtId="0" fontId="93" fillId="0" borderId="0" xfId="2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9" fillId="0" borderId="0" xfId="4" applyFont="1" applyFill="1" applyBorder="1" applyAlignment="1">
      <alignment horizontal="center" vertical="center"/>
    </xf>
    <xf numFmtId="0" fontId="39" fillId="0" borderId="0" xfId="11" applyFont="1" applyFill="1" applyBorder="1" applyAlignment="1">
      <alignment horizontal="center" vertical="center"/>
    </xf>
    <xf numFmtId="0" fontId="53" fillId="5" borderId="0" xfId="11" applyFont="1" applyFill="1" applyBorder="1" applyAlignment="1">
      <alignment horizontal="center" vertical="center"/>
    </xf>
    <xf numFmtId="0" fontId="53" fillId="0" borderId="0" xfId="11" applyFont="1" applyFill="1" applyBorder="1" applyAlignment="1">
      <alignment horizontal="center" vertical="center"/>
    </xf>
    <xf numFmtId="176" fontId="94" fillId="5" borderId="2" xfId="4" applyNumberFormat="1" applyFont="1" applyFill="1" applyBorder="1" applyAlignment="1">
      <alignment horizontal="right" vertical="center" indent="2"/>
    </xf>
    <xf numFmtId="176" fontId="39" fillId="5" borderId="3" xfId="4" applyNumberFormat="1" applyFont="1" applyFill="1" applyBorder="1" applyAlignment="1">
      <alignment horizontal="right" vertical="center" indent="2"/>
    </xf>
    <xf numFmtId="176" fontId="39" fillId="5" borderId="4" xfId="4" applyNumberFormat="1" applyFont="1" applyFill="1" applyBorder="1" applyAlignment="1">
      <alignment horizontal="right" vertical="center" indent="2"/>
    </xf>
    <xf numFmtId="176" fontId="39" fillId="0" borderId="0" xfId="4" applyNumberFormat="1" applyFont="1" applyFill="1" applyBorder="1" applyAlignment="1">
      <alignment horizontal="right" vertical="center" indent="2"/>
    </xf>
    <xf numFmtId="176" fontId="94" fillId="5" borderId="2" xfId="11" applyNumberFormat="1" applyFont="1" applyFill="1" applyBorder="1" applyAlignment="1">
      <alignment horizontal="right" vertical="center" indent="2"/>
    </xf>
    <xf numFmtId="176" fontId="39" fillId="5" borderId="3" xfId="11" applyNumberFormat="1" applyFont="1" applyFill="1" applyBorder="1" applyAlignment="1">
      <alignment horizontal="right" vertical="center" indent="2"/>
    </xf>
    <xf numFmtId="176" fontId="39" fillId="5" borderId="4" xfId="11" applyNumberFormat="1" applyFont="1" applyFill="1" applyBorder="1" applyAlignment="1">
      <alignment horizontal="right" vertical="center" indent="2"/>
    </xf>
    <xf numFmtId="176" fontId="53" fillId="5" borderId="5" xfId="4" applyNumberFormat="1" applyFont="1" applyFill="1" applyBorder="1" applyAlignment="1">
      <alignment horizontal="right" vertical="center" indent="2"/>
    </xf>
    <xf numFmtId="176" fontId="94" fillId="0" borderId="0" xfId="4" applyNumberFormat="1" applyFont="1" applyBorder="1" applyAlignment="1">
      <alignment horizontal="right" vertical="center" indent="2"/>
    </xf>
    <xf numFmtId="176" fontId="39" fillId="0" borderId="0" xfId="4" applyNumberFormat="1" applyFont="1" applyBorder="1" applyAlignment="1">
      <alignment horizontal="right" vertical="center" indent="2"/>
    </xf>
    <xf numFmtId="176" fontId="94" fillId="0" borderId="0" xfId="11" applyNumberFormat="1" applyFont="1" applyBorder="1" applyAlignment="1">
      <alignment horizontal="right" vertical="center" indent="2"/>
    </xf>
    <xf numFmtId="176" fontId="39" fillId="0" borderId="0" xfId="11" applyNumberFormat="1" applyFont="1" applyBorder="1" applyAlignment="1">
      <alignment horizontal="right" vertical="center" indent="2"/>
    </xf>
    <xf numFmtId="176" fontId="53" fillId="5" borderId="70" xfId="4" applyNumberFormat="1" applyFont="1" applyFill="1" applyBorder="1" applyAlignment="1">
      <alignment horizontal="right" vertical="center" indent="2"/>
    </xf>
    <xf numFmtId="0" fontId="53" fillId="5" borderId="57" xfId="11" applyFont="1" applyFill="1" applyBorder="1" applyAlignment="1">
      <alignment horizontal="center" vertical="center"/>
    </xf>
    <xf numFmtId="176" fontId="94" fillId="5" borderId="8" xfId="4" applyNumberFormat="1" applyFont="1" applyFill="1" applyBorder="1" applyAlignment="1">
      <alignment horizontal="right" vertical="center" indent="2"/>
    </xf>
    <xf numFmtId="176" fontId="39" fillId="5" borderId="9" xfId="4" applyNumberFormat="1" applyFont="1" applyFill="1" applyBorder="1" applyAlignment="1">
      <alignment horizontal="right" vertical="center" indent="2"/>
    </xf>
    <xf numFmtId="176" fontId="39" fillId="5" borderId="10" xfId="4" applyNumberFormat="1" applyFont="1" applyFill="1" applyBorder="1" applyAlignment="1">
      <alignment horizontal="right" vertical="center" indent="2"/>
    </xf>
    <xf numFmtId="176" fontId="94" fillId="5" borderId="8" xfId="11" applyNumberFormat="1" applyFont="1" applyFill="1" applyBorder="1" applyAlignment="1">
      <alignment horizontal="right" vertical="center" indent="2"/>
    </xf>
    <xf numFmtId="176" fontId="39" fillId="5" borderId="9" xfId="11" applyNumberFormat="1" applyFont="1" applyFill="1" applyBorder="1" applyAlignment="1">
      <alignment horizontal="right" vertical="center" indent="2"/>
    </xf>
    <xf numFmtId="176" fontId="39" fillId="5" borderId="10" xfId="11" applyNumberFormat="1" applyFont="1" applyFill="1" applyBorder="1" applyAlignment="1">
      <alignment horizontal="right" vertical="center" indent="2"/>
    </xf>
    <xf numFmtId="176" fontId="53" fillId="5" borderId="8" xfId="4" applyNumberFormat="1" applyFont="1" applyFill="1" applyBorder="1" applyAlignment="1">
      <alignment horizontal="right" vertical="center" indent="2"/>
    </xf>
    <xf numFmtId="0" fontId="4" fillId="5" borderId="8" xfId="0" applyFont="1" applyFill="1" applyBorder="1" applyAlignment="1">
      <alignment horizontal="left" vertical="center" indent="1"/>
    </xf>
    <xf numFmtId="0" fontId="4" fillId="0" borderId="2" xfId="0" applyFont="1" applyFill="1" applyBorder="1" applyAlignment="1">
      <alignment horizontal="left" vertical="center"/>
    </xf>
    <xf numFmtId="166" fontId="5" fillId="5" borderId="9" xfId="0" applyNumberFormat="1" applyFont="1" applyFill="1" applyBorder="1" applyAlignment="1">
      <alignment horizontal="center" vertical="center"/>
    </xf>
    <xf numFmtId="166" fontId="5" fillId="5" borderId="10" xfId="0" applyNumberFormat="1" applyFont="1" applyFill="1" applyBorder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 indent="1"/>
    </xf>
    <xf numFmtId="0" fontId="4" fillId="0" borderId="0" xfId="0" applyFont="1" applyFill="1" applyBorder="1" applyAlignment="1">
      <alignment horizontal="left" vertical="center"/>
    </xf>
    <xf numFmtId="166" fontId="5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5" borderId="2" xfId="0" applyFont="1" applyFill="1" applyBorder="1" applyAlignment="1">
      <alignment horizontal="left" vertical="center" indent="1"/>
    </xf>
    <xf numFmtId="166" fontId="5" fillId="5" borderId="3" xfId="0" applyNumberFormat="1" applyFont="1" applyFill="1" applyBorder="1" applyAlignment="1">
      <alignment horizontal="center" vertical="center"/>
    </xf>
    <xf numFmtId="166" fontId="5" fillId="5" borderId="4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2" borderId="168" xfId="2" applyFont="1" applyFill="1" applyBorder="1" applyAlignment="1">
      <alignment horizontal="center" vertical="center" wrapText="1"/>
    </xf>
    <xf numFmtId="0" fontId="22" fillId="2" borderId="173" xfId="2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177" fontId="9" fillId="0" borderId="0" xfId="0" applyNumberFormat="1" applyFont="1" applyBorder="1" applyAlignment="1">
      <alignment horizontal="right" vertical="center" indent="1"/>
    </xf>
    <xf numFmtId="177" fontId="10" fillId="0" borderId="0" xfId="0" applyNumberFormat="1" applyFont="1" applyBorder="1" applyAlignment="1">
      <alignment horizontal="right" vertical="center" indent="1"/>
    </xf>
    <xf numFmtId="176" fontId="9" fillId="5" borderId="2" xfId="0" applyNumberFormat="1" applyFont="1" applyFill="1" applyBorder="1" applyAlignment="1">
      <alignment horizontal="right" vertical="center" indent="1"/>
    </xf>
    <xf numFmtId="176" fontId="10" fillId="5" borderId="3" xfId="0" applyNumberFormat="1" applyFont="1" applyFill="1" applyBorder="1" applyAlignment="1">
      <alignment horizontal="right" vertical="center" indent="1"/>
    </xf>
    <xf numFmtId="176" fontId="10" fillId="5" borderId="4" xfId="0" applyNumberFormat="1" applyFont="1" applyFill="1" applyBorder="1" applyAlignment="1">
      <alignment horizontal="right" vertical="center" indent="1"/>
    </xf>
    <xf numFmtId="176" fontId="9" fillId="0" borderId="0" xfId="0" applyNumberFormat="1" applyFont="1" applyBorder="1" applyAlignment="1">
      <alignment horizontal="right" vertical="center" indent="1"/>
    </xf>
    <xf numFmtId="176" fontId="10" fillId="0" borderId="0" xfId="0" applyNumberFormat="1" applyFont="1" applyBorder="1" applyAlignment="1">
      <alignment horizontal="right" vertical="center" indent="1"/>
    </xf>
    <xf numFmtId="177" fontId="9" fillId="5" borderId="2" xfId="0" applyNumberFormat="1" applyFont="1" applyFill="1" applyBorder="1" applyAlignment="1">
      <alignment horizontal="right" vertical="center" indent="1"/>
    </xf>
    <xf numFmtId="177" fontId="10" fillId="5" borderId="3" xfId="0" applyNumberFormat="1" applyFont="1" applyFill="1" applyBorder="1" applyAlignment="1">
      <alignment horizontal="right" vertical="center" indent="1"/>
    </xf>
    <xf numFmtId="177" fontId="10" fillId="5" borderId="4" xfId="0" applyNumberFormat="1" applyFont="1" applyFill="1" applyBorder="1" applyAlignment="1">
      <alignment horizontal="right" vertical="center" indent="1"/>
    </xf>
    <xf numFmtId="177" fontId="10" fillId="0" borderId="0" xfId="0" applyNumberFormat="1" applyFont="1" applyAlignment="1">
      <alignment horizontal="right" vertical="center" indent="1"/>
    </xf>
    <xf numFmtId="176" fontId="9" fillId="0" borderId="0" xfId="0" applyNumberFormat="1" applyFont="1" applyFill="1" applyBorder="1" applyAlignment="1">
      <alignment horizontal="right" vertical="center" indent="1"/>
    </xf>
    <xf numFmtId="176" fontId="10" fillId="0" borderId="0" xfId="0" applyNumberFormat="1" applyFont="1" applyFill="1" applyBorder="1" applyAlignment="1">
      <alignment horizontal="right" vertical="center" indent="1"/>
    </xf>
    <xf numFmtId="0" fontId="9" fillId="5" borderId="2" xfId="0" applyFont="1" applyFill="1" applyBorder="1" applyAlignment="1">
      <alignment horizontal="center" vertical="center"/>
    </xf>
    <xf numFmtId="167" fontId="10" fillId="5" borderId="3" xfId="0" applyNumberFormat="1" applyFont="1" applyFill="1" applyBorder="1" applyAlignment="1">
      <alignment horizontal="right" vertical="center" indent="1"/>
    </xf>
    <xf numFmtId="167" fontId="10" fillId="5" borderId="4" xfId="0" applyNumberFormat="1" applyFont="1" applyFill="1" applyBorder="1" applyAlignment="1">
      <alignment horizontal="right" vertical="center" indent="1"/>
    </xf>
    <xf numFmtId="167" fontId="10" fillId="0" borderId="0" xfId="0" applyNumberFormat="1" applyFont="1" applyFill="1" applyBorder="1" applyAlignment="1">
      <alignment horizontal="right" vertical="center" indent="1"/>
    </xf>
    <xf numFmtId="0" fontId="19" fillId="2" borderId="8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23" borderId="52" xfId="0" applyFont="1" applyFill="1" applyBorder="1" applyAlignment="1">
      <alignment horizontal="center" vertical="center"/>
    </xf>
    <xf numFmtId="165" fontId="39" fillId="23" borderId="3" xfId="0" applyNumberFormat="1" applyFont="1" applyFill="1" applyBorder="1" applyAlignment="1">
      <alignment horizontal="right" vertical="center" indent="1"/>
    </xf>
    <xf numFmtId="165" fontId="4" fillId="23" borderId="59" xfId="0" applyNumberFormat="1" applyFont="1" applyFill="1" applyBorder="1" applyAlignment="1">
      <alignment horizontal="right" vertical="center" indent="1"/>
    </xf>
    <xf numFmtId="0" fontId="4" fillId="0" borderId="181" xfId="0" applyFont="1" applyFill="1" applyBorder="1" applyAlignment="1">
      <alignment horizontal="center" vertical="center"/>
    </xf>
    <xf numFmtId="165" fontId="39" fillId="0" borderId="180" xfId="0" applyNumberFormat="1" applyFont="1" applyFill="1" applyBorder="1" applyAlignment="1">
      <alignment horizontal="right" vertical="center" indent="1"/>
    </xf>
    <xf numFmtId="165" fontId="4" fillId="0" borderId="182" xfId="0" applyNumberFormat="1" applyFont="1" applyFill="1" applyBorder="1" applyAlignment="1">
      <alignment horizontal="right" vertical="center" indent="1"/>
    </xf>
    <xf numFmtId="0" fontId="4" fillId="0" borderId="181" xfId="0" applyFont="1" applyFill="1" applyBorder="1" applyAlignment="1">
      <alignment horizontal="center"/>
    </xf>
    <xf numFmtId="0" fontId="4" fillId="23" borderId="52" xfId="0" applyFont="1" applyFill="1" applyBorder="1" applyAlignment="1">
      <alignment horizontal="center"/>
    </xf>
    <xf numFmtId="0" fontId="4" fillId="0" borderId="183" xfId="0" applyFont="1" applyFill="1" applyBorder="1" applyAlignment="1">
      <alignment horizontal="center"/>
    </xf>
    <xf numFmtId="165" fontId="5" fillId="0" borderId="184" xfId="0" applyNumberFormat="1" applyFont="1" applyFill="1" applyBorder="1" applyAlignment="1">
      <alignment horizontal="right" indent="1"/>
    </xf>
    <xf numFmtId="165" fontId="5" fillId="0" borderId="184" xfId="0" applyNumberFormat="1" applyFont="1" applyFill="1" applyBorder="1" applyAlignment="1">
      <alignment horizontal="right" vertical="center" indent="1"/>
    </xf>
    <xf numFmtId="165" fontId="4" fillId="0" borderId="185" xfId="0" applyNumberFormat="1" applyFont="1" applyFill="1" applyBorder="1" applyAlignment="1">
      <alignment horizontal="right" vertical="center" indent="1"/>
    </xf>
    <xf numFmtId="173" fontId="5" fillId="0" borderId="0" xfId="0" applyNumberFormat="1" applyFont="1" applyAlignment="1">
      <alignment horizontal="right" vertical="center" indent="1"/>
    </xf>
    <xf numFmtId="0" fontId="19" fillId="2" borderId="2" xfId="0" applyFont="1" applyFill="1" applyBorder="1" applyAlignment="1">
      <alignment vertical="center"/>
    </xf>
    <xf numFmtId="173" fontId="19" fillId="2" borderId="4" xfId="0" applyNumberFormat="1" applyFont="1" applyFill="1" applyBorder="1" applyAlignment="1">
      <alignment horizontal="right" vertical="center" indent="1"/>
    </xf>
    <xf numFmtId="0" fontId="5" fillId="5" borderId="166" xfId="0" applyFont="1" applyFill="1" applyBorder="1" applyAlignment="1">
      <alignment vertical="center"/>
    </xf>
    <xf numFmtId="173" fontId="5" fillId="5" borderId="167" xfId="0" applyNumberFormat="1" applyFont="1" applyFill="1" applyBorder="1" applyAlignment="1">
      <alignment horizontal="right" vertical="center" indent="1"/>
    </xf>
    <xf numFmtId="0" fontId="5" fillId="0" borderId="186" xfId="0" applyFont="1" applyBorder="1" applyAlignment="1">
      <alignment vertical="center"/>
    </xf>
    <xf numFmtId="173" fontId="5" fillId="0" borderId="187" xfId="0" applyNumberFormat="1" applyFont="1" applyBorder="1" applyAlignment="1">
      <alignment horizontal="right" vertical="center" indent="1"/>
    </xf>
    <xf numFmtId="0" fontId="5" fillId="0" borderId="188" xfId="0" applyFont="1" applyBorder="1" applyAlignment="1">
      <alignment vertical="center"/>
    </xf>
    <xf numFmtId="173" fontId="5" fillId="0" borderId="189" xfId="0" applyNumberFormat="1" applyFont="1" applyBorder="1" applyAlignment="1">
      <alignment horizontal="right" vertical="center" indent="1"/>
    </xf>
    <xf numFmtId="0" fontId="5" fillId="5" borderId="190" xfId="0" applyFont="1" applyFill="1" applyBorder="1" applyAlignment="1">
      <alignment vertical="center"/>
    </xf>
    <xf numFmtId="173" fontId="5" fillId="5" borderId="191" xfId="0" applyNumberFormat="1" applyFont="1" applyFill="1" applyBorder="1" applyAlignment="1">
      <alignment horizontal="right" vertical="center" indent="1"/>
    </xf>
    <xf numFmtId="0" fontId="4" fillId="4" borderId="8" xfId="0" applyFont="1" applyFill="1" applyBorder="1" applyAlignment="1">
      <alignment vertical="center"/>
    </xf>
    <xf numFmtId="167" fontId="7" fillId="4" borderId="9" xfId="0" applyNumberFormat="1" applyFont="1" applyFill="1" applyBorder="1" applyAlignment="1">
      <alignment horizontal="right" vertical="center" indent="1"/>
    </xf>
    <xf numFmtId="167" fontId="7" fillId="4" borderId="10" xfId="0" applyNumberFormat="1" applyFont="1" applyFill="1" applyBorder="1" applyAlignment="1">
      <alignment horizontal="right" vertical="center" indent="1"/>
    </xf>
    <xf numFmtId="0" fontId="4" fillId="0" borderId="165" xfId="0" applyFont="1" applyBorder="1" applyAlignment="1">
      <alignment vertical="center"/>
    </xf>
    <xf numFmtId="167" fontId="8" fillId="0" borderId="165" xfId="0" applyNumberFormat="1" applyFont="1" applyFill="1" applyBorder="1" applyAlignment="1">
      <alignment horizontal="right" vertical="center" indent="1"/>
    </xf>
    <xf numFmtId="167" fontId="8" fillId="0" borderId="165" xfId="0" applyNumberFormat="1" applyFont="1" applyBorder="1" applyAlignment="1">
      <alignment horizontal="right" vertical="center" indent="1"/>
    </xf>
    <xf numFmtId="0" fontId="4" fillId="0" borderId="164" xfId="0" applyFont="1" applyBorder="1" applyAlignment="1">
      <alignment vertical="center"/>
    </xf>
    <xf numFmtId="167" fontId="8" fillId="0" borderId="164" xfId="0" applyNumberFormat="1" applyFont="1" applyFill="1" applyBorder="1" applyAlignment="1">
      <alignment horizontal="right" vertical="center" indent="1"/>
    </xf>
    <xf numFmtId="167" fontId="8" fillId="0" borderId="164" xfId="0" applyNumberFormat="1" applyFont="1" applyBorder="1" applyAlignment="1">
      <alignment horizontal="right" vertical="center" indent="1"/>
    </xf>
    <xf numFmtId="0" fontId="9" fillId="4" borderId="8" xfId="0" applyFont="1" applyFill="1" applyBorder="1" applyAlignment="1">
      <alignment vertical="center"/>
    </xf>
    <xf numFmtId="167" fontId="9" fillId="4" borderId="9" xfId="0" applyNumberFormat="1" applyFont="1" applyFill="1" applyBorder="1" applyAlignment="1">
      <alignment horizontal="right" vertical="center" indent="1"/>
    </xf>
    <xf numFmtId="167" fontId="9" fillId="4" borderId="10" xfId="0" applyNumberFormat="1" applyFont="1" applyFill="1" applyBorder="1" applyAlignment="1">
      <alignment horizontal="right" vertical="center" indent="1"/>
    </xf>
    <xf numFmtId="0" fontId="9" fillId="0" borderId="165" xfId="0" applyFont="1" applyFill="1" applyBorder="1" applyAlignment="1">
      <alignment vertical="center"/>
    </xf>
    <xf numFmtId="167" fontId="10" fillId="0" borderId="165" xfId="0" applyNumberFormat="1" applyFont="1" applyFill="1" applyBorder="1" applyAlignment="1">
      <alignment horizontal="right" vertical="center" indent="1"/>
    </xf>
    <xf numFmtId="0" fontId="9" fillId="0" borderId="164" xfId="0" applyFont="1" applyFill="1" applyBorder="1" applyAlignment="1">
      <alignment vertical="center"/>
    </xf>
    <xf numFmtId="167" fontId="10" fillId="0" borderId="164" xfId="0" applyNumberFormat="1" applyFont="1" applyFill="1" applyBorder="1" applyAlignment="1">
      <alignment horizontal="right" vertical="center" indent="1"/>
    </xf>
    <xf numFmtId="0" fontId="90" fillId="0" borderId="0" xfId="0" applyFont="1" applyBorder="1" applyAlignment="1">
      <alignment vertical="center"/>
    </xf>
    <xf numFmtId="0" fontId="90" fillId="0" borderId="0" xfId="0" applyFont="1" applyBorder="1" applyAlignment="1">
      <alignment horizontal="right" vertical="center"/>
    </xf>
    <xf numFmtId="0" fontId="9" fillId="6" borderId="174" xfId="0" applyFont="1" applyFill="1" applyBorder="1" applyAlignment="1">
      <alignment horizontal="right" vertical="center" indent="1"/>
    </xf>
    <xf numFmtId="167" fontId="9" fillId="6" borderId="168" xfId="0" applyNumberFormat="1" applyFont="1" applyFill="1" applyBorder="1" applyAlignment="1">
      <alignment horizontal="right" vertical="center" indent="1"/>
    </xf>
    <xf numFmtId="167" fontId="9" fillId="6" borderId="175" xfId="0" applyNumberFormat="1" applyFont="1" applyFill="1" applyBorder="1" applyAlignment="1">
      <alignment horizontal="right" vertical="center" indent="1"/>
    </xf>
    <xf numFmtId="0" fontId="9" fillId="0" borderId="186" xfId="0" applyFont="1" applyFill="1" applyBorder="1" applyAlignment="1">
      <alignment horizontal="center" vertical="center"/>
    </xf>
    <xf numFmtId="167" fontId="10" fillId="0" borderId="187" xfId="0" applyNumberFormat="1" applyFont="1" applyFill="1" applyBorder="1" applyAlignment="1">
      <alignment horizontal="right" vertical="center" indent="1"/>
    </xf>
    <xf numFmtId="0" fontId="9" fillId="5" borderId="166" xfId="0" applyFont="1" applyFill="1" applyBorder="1" applyAlignment="1">
      <alignment horizontal="center" vertical="center"/>
    </xf>
    <xf numFmtId="167" fontId="10" fillId="5" borderId="167" xfId="0" applyNumberFormat="1" applyFont="1" applyFill="1" applyBorder="1" applyAlignment="1">
      <alignment horizontal="right" vertical="center" indent="1"/>
    </xf>
    <xf numFmtId="0" fontId="9" fillId="5" borderId="196" xfId="0" applyFont="1" applyFill="1" applyBorder="1" applyAlignment="1">
      <alignment horizontal="center" vertical="center"/>
    </xf>
    <xf numFmtId="167" fontId="10" fillId="5" borderId="197" xfId="0" applyNumberFormat="1" applyFont="1" applyFill="1" applyBorder="1" applyAlignment="1">
      <alignment horizontal="right" vertical="center" indent="1"/>
    </xf>
    <xf numFmtId="167" fontId="10" fillId="5" borderId="198" xfId="0" applyNumberFormat="1" applyFont="1" applyFill="1" applyBorder="1" applyAlignment="1">
      <alignment horizontal="right" vertical="center" indent="1"/>
    </xf>
    <xf numFmtId="0" fontId="9" fillId="5" borderId="174" xfId="0" applyFont="1" applyFill="1" applyBorder="1" applyAlignment="1">
      <alignment horizontal="center" vertical="center"/>
    </xf>
    <xf numFmtId="167" fontId="10" fillId="5" borderId="168" xfId="0" applyNumberFormat="1" applyFont="1" applyFill="1" applyBorder="1" applyAlignment="1">
      <alignment horizontal="right" vertical="center" indent="1"/>
    </xf>
    <xf numFmtId="167" fontId="10" fillId="5" borderId="175" xfId="0" applyNumberFormat="1" applyFont="1" applyFill="1" applyBorder="1" applyAlignment="1">
      <alignment horizontal="right" vertical="center" indent="1"/>
    </xf>
    <xf numFmtId="0" fontId="9" fillId="6" borderId="174" xfId="0" applyFont="1" applyFill="1" applyBorder="1" applyAlignment="1">
      <alignment horizontal="center" vertical="center"/>
    </xf>
    <xf numFmtId="0" fontId="9" fillId="0" borderId="165" xfId="0" applyFont="1" applyFill="1" applyBorder="1" applyAlignment="1">
      <alignment horizontal="center" vertical="center"/>
    </xf>
    <xf numFmtId="0" fontId="9" fillId="0" borderId="164" xfId="0" applyFont="1" applyFill="1" applyBorder="1" applyAlignment="1">
      <alignment horizontal="center" vertical="center"/>
    </xf>
    <xf numFmtId="0" fontId="33" fillId="0" borderId="174" xfId="0" applyFont="1" applyFill="1" applyBorder="1" applyAlignment="1">
      <alignment horizontal="center" vertical="center"/>
    </xf>
    <xf numFmtId="0" fontId="33" fillId="0" borderId="177" xfId="0" applyFont="1" applyFill="1" applyBorder="1" applyAlignment="1">
      <alignment horizontal="center" vertical="center"/>
    </xf>
    <xf numFmtId="0" fontId="9" fillId="4" borderId="174" xfId="0" applyFont="1" applyFill="1" applyBorder="1" applyAlignment="1">
      <alignment horizontal="center" vertical="center"/>
    </xf>
    <xf numFmtId="167" fontId="9" fillId="4" borderId="168" xfId="0" applyNumberFormat="1" applyFont="1" applyFill="1" applyBorder="1" applyAlignment="1">
      <alignment horizontal="right" vertical="center" indent="1"/>
    </xf>
    <xf numFmtId="167" fontId="9" fillId="4" borderId="175" xfId="0" applyNumberFormat="1" applyFont="1" applyFill="1" applyBorder="1" applyAlignment="1">
      <alignment horizontal="right" vertical="center" indent="1"/>
    </xf>
    <xf numFmtId="0" fontId="33" fillId="2" borderId="168" xfId="0" applyFont="1" applyFill="1" applyBorder="1" applyAlignment="1">
      <alignment horizontal="center" vertical="center" wrapText="1"/>
    </xf>
    <xf numFmtId="0" fontId="33" fillId="2" borderId="175" xfId="0" applyFont="1" applyFill="1" applyBorder="1" applyAlignment="1">
      <alignment horizontal="center" vertical="center" wrapText="1"/>
    </xf>
    <xf numFmtId="168" fontId="37" fillId="19" borderId="162" xfId="0" applyNumberFormat="1" applyFont="1" applyFill="1" applyBorder="1" applyAlignment="1">
      <alignment horizontal="right" vertical="top" wrapText="1" indent="5"/>
    </xf>
    <xf numFmtId="168" fontId="37" fillId="5" borderId="29" xfId="0" applyNumberFormat="1" applyFont="1" applyFill="1" applyBorder="1" applyAlignment="1">
      <alignment horizontal="right" vertical="top" wrapText="1" indent="5"/>
    </xf>
    <xf numFmtId="168" fontId="37" fillId="19" borderId="29" xfId="0" applyNumberFormat="1" applyFont="1" applyFill="1" applyBorder="1" applyAlignment="1">
      <alignment horizontal="right" vertical="top" wrapText="1" indent="5"/>
    </xf>
    <xf numFmtId="0" fontId="9" fillId="20" borderId="174" xfId="0" applyFont="1" applyFill="1" applyBorder="1" applyAlignment="1">
      <alignment horizontal="center" vertical="center"/>
    </xf>
    <xf numFmtId="167" fontId="9" fillId="20" borderId="168" xfId="0" applyNumberFormat="1" applyFont="1" applyFill="1" applyBorder="1" applyAlignment="1">
      <alignment horizontal="right" vertical="center" indent="1"/>
    </xf>
    <xf numFmtId="167" fontId="9" fillId="20" borderId="175" xfId="0" applyNumberFormat="1" applyFont="1" applyFill="1" applyBorder="1" applyAlignment="1">
      <alignment horizontal="right" vertical="center" indent="1"/>
    </xf>
    <xf numFmtId="0" fontId="9" fillId="0" borderId="199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0" borderId="198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/>
    </xf>
    <xf numFmtId="0" fontId="9" fillId="0" borderId="201" xfId="0" applyFont="1" applyFill="1" applyBorder="1" applyAlignment="1">
      <alignment horizontal="center" vertical="center"/>
    </xf>
    <xf numFmtId="167" fontId="10" fillId="0" borderId="200" xfId="0" applyNumberFormat="1" applyFont="1" applyFill="1" applyBorder="1" applyAlignment="1">
      <alignment horizontal="right" vertical="center" indent="1"/>
    </xf>
    <xf numFmtId="167" fontId="10" fillId="0" borderId="202" xfId="0" applyNumberFormat="1" applyFont="1" applyFill="1" applyBorder="1" applyAlignment="1">
      <alignment horizontal="right" vertical="center" indent="1"/>
    </xf>
    <xf numFmtId="167" fontId="10" fillId="0" borderId="203" xfId="0" applyNumberFormat="1" applyFont="1" applyFill="1" applyBorder="1" applyAlignment="1">
      <alignment horizontal="right" vertical="center" indent="1"/>
    </xf>
    <xf numFmtId="0" fontId="7" fillId="0" borderId="0" xfId="0" applyFont="1" applyAlignment="1">
      <alignment horizontal="center"/>
    </xf>
    <xf numFmtId="0" fontId="19" fillId="2" borderId="2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204" xfId="0" applyFont="1" applyBorder="1" applyAlignment="1">
      <alignment vertical="center"/>
    </xf>
    <xf numFmtId="167" fontId="10" fillId="0" borderId="205" xfId="0" applyNumberFormat="1" applyFont="1" applyBorder="1" applyAlignment="1">
      <alignment horizontal="right" vertical="center" indent="1"/>
    </xf>
    <xf numFmtId="167" fontId="10" fillId="0" borderId="206" xfId="0" applyNumberFormat="1" applyFont="1" applyBorder="1" applyAlignment="1">
      <alignment horizontal="right" vertical="center" indent="1"/>
    </xf>
    <xf numFmtId="0" fontId="9" fillId="5" borderId="166" xfId="0" applyFont="1" applyFill="1" applyBorder="1" applyAlignment="1">
      <alignment vertical="center"/>
    </xf>
    <xf numFmtId="0" fontId="9" fillId="0" borderId="186" xfId="0" applyFont="1" applyBorder="1" applyAlignment="1">
      <alignment vertical="center"/>
    </xf>
    <xf numFmtId="167" fontId="10" fillId="0" borderId="187" xfId="0" applyNumberFormat="1" applyFont="1" applyBorder="1" applyAlignment="1">
      <alignment horizontal="right" vertical="center" indent="1"/>
    </xf>
    <xf numFmtId="0" fontId="9" fillId="0" borderId="186" xfId="0" applyFont="1" applyFill="1" applyBorder="1" applyAlignment="1">
      <alignment vertical="center"/>
    </xf>
    <xf numFmtId="0" fontId="9" fillId="5" borderId="196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6" fillId="0" borderId="0" xfId="0" applyFont="1" applyFill="1" applyAlignment="1">
      <alignment vertical="center"/>
    </xf>
    <xf numFmtId="0" fontId="33" fillId="2" borderId="168" xfId="0" applyFont="1" applyFill="1" applyBorder="1" applyAlignment="1">
      <alignment horizontal="center" vertical="center"/>
    </xf>
    <xf numFmtId="0" fontId="33" fillId="2" borderId="175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178" fontId="10" fillId="0" borderId="0" xfId="0" applyNumberFormat="1" applyFont="1" applyAlignment="1">
      <alignment horizontal="right" vertical="center" indent="1"/>
    </xf>
    <xf numFmtId="0" fontId="10" fillId="0" borderId="0" xfId="0" applyFont="1" applyAlignment="1">
      <alignment horizontal="right" vertical="center" indent="1"/>
    </xf>
    <xf numFmtId="0" fontId="9" fillId="0" borderId="0" xfId="0" applyFont="1" applyFill="1" applyAlignment="1">
      <alignment vertical="center"/>
    </xf>
    <xf numFmtId="167" fontId="9" fillId="0" borderId="0" xfId="0" applyNumberFormat="1" applyFont="1" applyFill="1" applyBorder="1" applyAlignment="1">
      <alignment horizontal="right" vertical="center" indent="1"/>
    </xf>
    <xf numFmtId="0" fontId="10" fillId="4" borderId="0" xfId="0" applyFont="1" applyFill="1" applyAlignment="1">
      <alignment vertical="center"/>
    </xf>
    <xf numFmtId="167" fontId="10" fillId="4" borderId="0" xfId="0" applyNumberFormat="1" applyFont="1" applyFill="1" applyBorder="1" applyAlignment="1">
      <alignment horizontal="right" vertical="center" indent="1"/>
    </xf>
    <xf numFmtId="178" fontId="10" fillId="0" borderId="0" xfId="0" applyNumberFormat="1" applyFont="1" applyFill="1" applyBorder="1" applyAlignment="1">
      <alignment horizontal="right" vertical="center" indent="1"/>
    </xf>
    <xf numFmtId="0" fontId="9" fillId="0" borderId="0" xfId="0" applyFont="1" applyAlignment="1">
      <alignment horizontal="right" vertical="center" indent="1"/>
    </xf>
    <xf numFmtId="0" fontId="10" fillId="4" borderId="0" xfId="0" applyFont="1" applyFill="1" applyAlignment="1">
      <alignment horizontal="right" vertical="center" indent="1"/>
    </xf>
    <xf numFmtId="0" fontId="9" fillId="5" borderId="2" xfId="0" applyFont="1" applyFill="1" applyBorder="1" applyAlignment="1">
      <alignment vertical="center"/>
    </xf>
    <xf numFmtId="167" fontId="9" fillId="5" borderId="3" xfId="0" applyNumberFormat="1" applyFont="1" applyFill="1" applyBorder="1" applyAlignment="1">
      <alignment horizontal="right" vertical="center" indent="1"/>
    </xf>
    <xf numFmtId="167" fontId="9" fillId="5" borderId="4" xfId="0" applyNumberFormat="1" applyFont="1" applyFill="1" applyBorder="1" applyAlignment="1">
      <alignment horizontal="right" vertical="center" indent="1"/>
    </xf>
    <xf numFmtId="0" fontId="96" fillId="0" borderId="0" xfId="0" applyFont="1" applyAlignment="1">
      <alignment vertical="center"/>
    </xf>
    <xf numFmtId="49" fontId="22" fillId="2" borderId="3" xfId="0" applyNumberFormat="1" applyFont="1" applyFill="1" applyBorder="1" applyAlignment="1">
      <alignment horizontal="center" vertical="center"/>
    </xf>
    <xf numFmtId="49" fontId="22" fillId="2" borderId="4" xfId="0" applyNumberFormat="1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right" vertical="center" indent="1"/>
    </xf>
    <xf numFmtId="167" fontId="10" fillId="0" borderId="163" xfId="0" applyNumberFormat="1" applyFont="1" applyFill="1" applyBorder="1" applyAlignment="1">
      <alignment horizontal="right" vertical="center" indent="1"/>
    </xf>
    <xf numFmtId="0" fontId="9" fillId="0" borderId="69" xfId="0" applyFont="1" applyFill="1" applyBorder="1" applyAlignment="1">
      <alignment horizontal="center" vertical="center"/>
    </xf>
    <xf numFmtId="49" fontId="33" fillId="2" borderId="205" xfId="0" applyNumberFormat="1" applyFont="1" applyFill="1" applyBorder="1" applyAlignment="1">
      <alignment horizontal="center" vertical="center"/>
    </xf>
    <xf numFmtId="49" fontId="33" fillId="2" borderId="174" xfId="0" applyNumberFormat="1" applyFont="1" applyFill="1" applyBorder="1" applyAlignment="1">
      <alignment horizontal="right" vertical="center"/>
    </xf>
    <xf numFmtId="0" fontId="33" fillId="2" borderId="128" xfId="0" applyFont="1" applyFill="1" applyBorder="1" applyAlignment="1">
      <alignment horizontal="left" vertical="center"/>
    </xf>
    <xf numFmtId="0" fontId="33" fillId="2" borderId="177" xfId="0" applyFont="1" applyFill="1" applyBorder="1" applyAlignment="1">
      <alignment horizontal="center" vertical="center"/>
    </xf>
    <xf numFmtId="167" fontId="22" fillId="6" borderId="176" xfId="0" applyNumberFormat="1" applyFont="1" applyFill="1" applyBorder="1" applyAlignment="1">
      <alignment horizontal="right" vertical="center" indent="1"/>
    </xf>
    <xf numFmtId="167" fontId="22" fillId="6" borderId="208" xfId="0" applyNumberFormat="1" applyFont="1" applyFill="1" applyBorder="1" applyAlignment="1">
      <alignment horizontal="right" vertical="center" indent="1"/>
    </xf>
    <xf numFmtId="167" fontId="9" fillId="5" borderId="9" xfId="0" applyNumberFormat="1" applyFont="1" applyFill="1" applyBorder="1" applyAlignment="1">
      <alignment horizontal="right" vertical="center" indent="1"/>
    </xf>
    <xf numFmtId="167" fontId="9" fillId="5" borderId="209" xfId="0" applyNumberFormat="1" applyFont="1" applyFill="1" applyBorder="1" applyAlignment="1">
      <alignment horizontal="right" vertical="center" indent="1"/>
    </xf>
    <xf numFmtId="0" fontId="10" fillId="0" borderId="0" xfId="0" applyFont="1" applyFill="1" applyBorder="1" applyAlignment="1"/>
    <xf numFmtId="167" fontId="22" fillId="6" borderId="210" xfId="0" applyNumberFormat="1" applyFont="1" applyFill="1" applyBorder="1" applyAlignment="1">
      <alignment horizontal="right" vertical="center" indent="1"/>
    </xf>
    <xf numFmtId="0" fontId="9" fillId="0" borderId="0" xfId="0" applyFont="1" applyFill="1" applyBorder="1" applyAlignment="1"/>
    <xf numFmtId="0" fontId="10" fillId="0" borderId="211" xfId="0" applyFont="1" applyFill="1" applyBorder="1" applyAlignment="1"/>
    <xf numFmtId="167" fontId="10" fillId="0" borderId="211" xfId="0" applyNumberFormat="1" applyFont="1" applyFill="1" applyBorder="1" applyAlignment="1">
      <alignment horizontal="right" vertical="center" indent="1"/>
    </xf>
    <xf numFmtId="167" fontId="10" fillId="0" borderId="189" xfId="0" applyNumberFormat="1" applyFont="1" applyFill="1" applyBorder="1" applyAlignment="1">
      <alignment horizontal="right" vertical="center" indent="1"/>
    </xf>
    <xf numFmtId="0" fontId="12" fillId="0" borderId="0" xfId="1" applyAlignment="1" applyProtection="1"/>
    <xf numFmtId="0" fontId="9" fillId="5" borderId="220" xfId="0" applyFont="1" applyFill="1" applyBorder="1" applyAlignment="1">
      <alignment horizontal="center"/>
    </xf>
    <xf numFmtId="0" fontId="9" fillId="5" borderId="221" xfId="0" applyFont="1" applyFill="1" applyBorder="1" applyAlignment="1">
      <alignment horizontal="center"/>
    </xf>
    <xf numFmtId="0" fontId="9" fillId="0" borderId="163" xfId="0" applyFont="1" applyBorder="1"/>
    <xf numFmtId="167" fontId="10" fillId="0" borderId="163" xfId="0" applyNumberFormat="1" applyFont="1" applyBorder="1" applyAlignment="1">
      <alignment horizontal="right" vertical="center" indent="1"/>
    </xf>
    <xf numFmtId="167" fontId="10" fillId="0" borderId="0" xfId="0" applyNumberFormat="1" applyFont="1"/>
    <xf numFmtId="0" fontId="9" fillId="5" borderId="2" xfId="0" applyFont="1" applyFill="1" applyBorder="1"/>
    <xf numFmtId="0" fontId="9" fillId="5" borderId="220" xfId="0" applyFont="1" applyFill="1" applyBorder="1" applyAlignment="1">
      <alignment horizontal="center" vertical="center"/>
    </xf>
    <xf numFmtId="0" fontId="9" fillId="5" borderId="221" xfId="0" applyFont="1" applyFill="1" applyBorder="1" applyAlignment="1">
      <alignment horizontal="center" vertical="center"/>
    </xf>
    <xf numFmtId="0" fontId="9" fillId="0" borderId="163" xfId="0" applyFont="1" applyBorder="1" applyAlignment="1">
      <alignment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4" fillId="5" borderId="223" xfId="0" applyFont="1" applyFill="1" applyBorder="1" applyAlignment="1">
      <alignment horizontal="center" vertical="center"/>
    </xf>
    <xf numFmtId="0" fontId="5" fillId="0" borderId="224" xfId="0" applyFont="1" applyBorder="1" applyAlignment="1">
      <alignment horizontal="right" vertical="center" indent="1"/>
    </xf>
    <xf numFmtId="0" fontId="5" fillId="0" borderId="203" xfId="0" applyFont="1" applyBorder="1" applyAlignment="1">
      <alignment horizontal="right" vertical="center" indent="1"/>
    </xf>
    <xf numFmtId="0" fontId="4" fillId="5" borderId="49" xfId="0" applyFont="1" applyFill="1" applyBorder="1" applyAlignment="1">
      <alignment horizontal="center" vertical="center"/>
    </xf>
    <xf numFmtId="0" fontId="5" fillId="0" borderId="187" xfId="0" applyFont="1" applyBorder="1" applyAlignment="1">
      <alignment horizontal="right" vertical="center" indent="1"/>
    </xf>
    <xf numFmtId="0" fontId="5" fillId="0" borderId="165" xfId="0" applyFont="1" applyBorder="1" applyAlignment="1">
      <alignment horizontal="right" vertical="center" indent="1"/>
    </xf>
    <xf numFmtId="0" fontId="4" fillId="5" borderId="10" xfId="0" applyFont="1" applyFill="1" applyBorder="1" applyAlignment="1">
      <alignment horizontal="center" vertical="center"/>
    </xf>
    <xf numFmtId="0" fontId="5" fillId="0" borderId="189" xfId="0" applyFont="1" applyBorder="1" applyAlignment="1">
      <alignment horizontal="right" vertical="center" indent="1"/>
    </xf>
    <xf numFmtId="0" fontId="5" fillId="0" borderId="164" xfId="0" applyFont="1" applyBorder="1" applyAlignment="1">
      <alignment horizontal="right" vertical="center" indent="1"/>
    </xf>
    <xf numFmtId="0" fontId="19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167" fontId="5" fillId="0" borderId="224" xfId="0" applyNumberFormat="1" applyFont="1" applyBorder="1" applyAlignment="1">
      <alignment horizontal="right" vertical="center" indent="1"/>
    </xf>
    <xf numFmtId="167" fontId="5" fillId="0" borderId="203" xfId="0" applyNumberFormat="1" applyFont="1" applyBorder="1" applyAlignment="1">
      <alignment horizontal="right" vertical="center" indent="1"/>
    </xf>
    <xf numFmtId="167" fontId="5" fillId="0" borderId="187" xfId="0" applyNumberFormat="1" applyFont="1" applyBorder="1" applyAlignment="1">
      <alignment horizontal="right" vertical="center" indent="1"/>
    </xf>
    <xf numFmtId="167" fontId="5" fillId="0" borderId="165" xfId="0" applyNumberFormat="1" applyFont="1" applyBorder="1" applyAlignment="1">
      <alignment horizontal="right" vertical="center" indent="1"/>
    </xf>
    <xf numFmtId="167" fontId="5" fillId="0" borderId="189" xfId="0" applyNumberFormat="1" applyFont="1" applyBorder="1" applyAlignment="1">
      <alignment horizontal="right" vertical="center" indent="1"/>
    </xf>
    <xf numFmtId="167" fontId="5" fillId="0" borderId="164" xfId="0" applyNumberFormat="1" applyFont="1" applyBorder="1" applyAlignment="1">
      <alignment horizontal="right" vertical="center" inden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5" fillId="5" borderId="70" xfId="0" applyFont="1" applyFill="1" applyBorder="1" applyAlignment="1">
      <alignment vertical="center" wrapText="1"/>
    </xf>
    <xf numFmtId="167" fontId="5" fillId="0" borderId="167" xfId="0" applyNumberFormat="1" applyFont="1" applyBorder="1" applyAlignment="1">
      <alignment horizontal="right" vertical="center" wrapText="1" indent="1"/>
    </xf>
    <xf numFmtId="167" fontId="5" fillId="0" borderId="165" xfId="0" applyNumberFormat="1" applyFont="1" applyBorder="1" applyAlignment="1">
      <alignment horizontal="right" vertical="center" wrapText="1" indent="1"/>
    </xf>
    <xf numFmtId="0" fontId="5" fillId="5" borderId="8" xfId="0" applyFont="1" applyFill="1" applyBorder="1" applyAlignment="1">
      <alignment vertical="center" wrapText="1"/>
    </xf>
    <xf numFmtId="167" fontId="5" fillId="0" borderId="198" xfId="0" applyNumberFormat="1" applyFont="1" applyBorder="1" applyAlignment="1">
      <alignment horizontal="right" vertical="center" wrapText="1" indent="1"/>
    </xf>
    <xf numFmtId="167" fontId="5" fillId="0" borderId="164" xfId="0" applyNumberFormat="1" applyFont="1" applyBorder="1" applyAlignment="1">
      <alignment horizontal="right" vertical="center" wrapText="1" indent="1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10" fillId="0" borderId="186" xfId="0" applyFont="1" applyBorder="1" applyAlignment="1">
      <alignment horizontal="right" vertical="center" indent="1"/>
    </xf>
    <xf numFmtId="0" fontId="10" fillId="0" borderId="0" xfId="0" applyFont="1" applyBorder="1" applyAlignment="1">
      <alignment horizontal="right" vertical="center" indent="1"/>
    </xf>
    <xf numFmtId="0" fontId="10" fillId="0" borderId="187" xfId="0" applyFont="1" applyBorder="1" applyAlignment="1">
      <alignment horizontal="right" vertical="center" indent="1"/>
    </xf>
    <xf numFmtId="0" fontId="10" fillId="5" borderId="166" xfId="0" applyFont="1" applyFill="1" applyBorder="1" applyAlignment="1">
      <alignment horizontal="right" vertical="center" indent="1"/>
    </xf>
    <xf numFmtId="0" fontId="10" fillId="5" borderId="167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0" fillId="0" borderId="188" xfId="0" applyFont="1" applyBorder="1" applyAlignment="1">
      <alignment horizontal="right" vertical="center" indent="1"/>
    </xf>
    <xf numFmtId="0" fontId="10" fillId="0" borderId="211" xfId="0" applyFont="1" applyBorder="1" applyAlignment="1">
      <alignment horizontal="right" vertical="center" indent="1"/>
    </xf>
    <xf numFmtId="0" fontId="10" fillId="0" borderId="189" xfId="0" applyFont="1" applyBorder="1" applyAlignment="1">
      <alignment horizontal="right" vertical="center" indent="1"/>
    </xf>
    <xf numFmtId="0" fontId="22" fillId="0" borderId="0" xfId="0" applyFont="1" applyFill="1" applyBorder="1" applyAlignment="1">
      <alignment vertical="center"/>
    </xf>
    <xf numFmtId="0" fontId="10" fillId="0" borderId="165" xfId="0" applyFont="1" applyBorder="1" applyAlignment="1">
      <alignment horizontal="right" vertical="center" indent="1"/>
    </xf>
    <xf numFmtId="0" fontId="10" fillId="0" borderId="164" xfId="0" applyFont="1" applyBorder="1" applyAlignment="1">
      <alignment horizontal="right" vertical="center" indent="1"/>
    </xf>
    <xf numFmtId="0" fontId="22" fillId="2" borderId="1" xfId="0" applyFont="1" applyFill="1" applyBorder="1" applyAlignment="1">
      <alignment horizontal="left" vertical="center" indent="1"/>
    </xf>
    <xf numFmtId="0" fontId="22" fillId="2" borderId="21" xfId="0" applyFont="1" applyFill="1" applyBorder="1" applyAlignment="1">
      <alignment horizontal="left" vertical="center" indent="1"/>
    </xf>
    <xf numFmtId="0" fontId="10" fillId="0" borderId="0" xfId="0" applyFont="1" applyFill="1"/>
    <xf numFmtId="0" fontId="97" fillId="0" borderId="0" xfId="0" applyFont="1" applyFill="1" applyBorder="1" applyAlignment="1">
      <alignment vertical="center"/>
    </xf>
    <xf numFmtId="0" fontId="10" fillId="0" borderId="165" xfId="0" applyFont="1" applyFill="1" applyBorder="1" applyAlignment="1">
      <alignment horizontal="right" vertical="center" indent="1"/>
    </xf>
    <xf numFmtId="0" fontId="10" fillId="0" borderId="164" xfId="0" applyFont="1" applyFill="1" applyBorder="1" applyAlignment="1">
      <alignment horizontal="right" vertical="center" indent="1"/>
    </xf>
    <xf numFmtId="0" fontId="22" fillId="2" borderId="228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5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 indent="1"/>
    </xf>
    <xf numFmtId="0" fontId="10" fillId="5" borderId="229" xfId="0" applyFont="1" applyFill="1" applyBorder="1" applyAlignment="1">
      <alignment horizontal="right" vertical="center" indent="1"/>
    </xf>
    <xf numFmtId="0" fontId="10" fillId="5" borderId="9" xfId="0" applyFont="1" applyFill="1" applyBorder="1" applyAlignment="1">
      <alignment horizontal="right" vertical="center" indent="1"/>
    </xf>
    <xf numFmtId="0" fontId="10" fillId="5" borderId="162" xfId="0" applyFont="1" applyFill="1" applyBorder="1" applyAlignment="1">
      <alignment horizontal="right" vertical="center" indent="1"/>
    </xf>
    <xf numFmtId="0" fontId="22" fillId="2" borderId="161" xfId="0" applyFont="1" applyFill="1" applyBorder="1" applyAlignment="1">
      <alignment horizontal="left" vertical="center" indent="1"/>
    </xf>
    <xf numFmtId="0" fontId="97" fillId="2" borderId="225" xfId="0" applyFont="1" applyFill="1" applyBorder="1" applyAlignment="1">
      <alignment horizontal="left" vertical="center" indent="1"/>
    </xf>
    <xf numFmtId="0" fontId="97" fillId="2" borderId="226" xfId="0" applyFont="1" applyFill="1" applyBorder="1" applyAlignment="1">
      <alignment horizontal="left" vertical="center" indent="1"/>
    </xf>
    <xf numFmtId="0" fontId="9" fillId="0" borderId="230" xfId="0" applyFont="1" applyBorder="1" applyAlignment="1">
      <alignment horizontal="left" vertical="center" indent="1"/>
    </xf>
    <xf numFmtId="0" fontId="9" fillId="0" borderId="165" xfId="0" applyFont="1" applyBorder="1" applyAlignment="1">
      <alignment horizontal="right" vertical="center" indent="1"/>
    </xf>
    <xf numFmtId="0" fontId="10" fillId="5" borderId="2" xfId="0" applyFont="1" applyFill="1" applyBorder="1" applyAlignment="1">
      <alignment horizontal="left" vertical="center" indent="1"/>
    </xf>
    <xf numFmtId="0" fontId="10" fillId="0" borderId="165" xfId="0" applyFont="1" applyBorder="1" applyAlignment="1">
      <alignment horizontal="left" vertical="center" indent="1"/>
    </xf>
    <xf numFmtId="0" fontId="10" fillId="0" borderId="164" xfId="0" applyFont="1" applyBorder="1" applyAlignment="1">
      <alignment horizontal="left" vertical="center" indent="1"/>
    </xf>
    <xf numFmtId="0" fontId="10" fillId="5" borderId="10" xfId="0" applyFont="1" applyFill="1" applyBorder="1" applyAlignment="1">
      <alignment horizontal="right" vertical="center" indent="1"/>
    </xf>
    <xf numFmtId="0" fontId="10" fillId="5" borderId="8" xfId="0" applyFont="1" applyFill="1" applyBorder="1" applyAlignment="1">
      <alignment horizontal="left" vertical="center" indent="1"/>
    </xf>
    <xf numFmtId="0" fontId="58" fillId="0" borderId="0" xfId="4" applyFont="1" applyAlignment="1">
      <alignment horizontal="center" wrapText="1"/>
    </xf>
    <xf numFmtId="0" fontId="86" fillId="0" borderId="0" xfId="4"/>
    <xf numFmtId="0" fontId="98" fillId="0" borderId="0" xfId="4" applyFont="1"/>
    <xf numFmtId="0" fontId="99" fillId="0" borderId="0" xfId="4" applyFont="1" applyAlignment="1">
      <alignment horizontal="left" wrapText="1"/>
    </xf>
    <xf numFmtId="0" fontId="99" fillId="0" borderId="0" xfId="4" applyFont="1"/>
    <xf numFmtId="0" fontId="32" fillId="0" borderId="0" xfId="4" applyFont="1"/>
    <xf numFmtId="0" fontId="101" fillId="0" borderId="0" xfId="1" applyFont="1" applyAlignment="1" applyProtection="1"/>
    <xf numFmtId="0" fontId="10" fillId="0" borderId="0" xfId="4" applyFont="1"/>
    <xf numFmtId="0" fontId="33" fillId="2" borderId="23" xfId="0" applyFont="1" applyFill="1" applyBorder="1" applyAlignment="1">
      <alignment horizontal="center" vertical="center"/>
    </xf>
    <xf numFmtId="0" fontId="4" fillId="0" borderId="165" xfId="0" applyFont="1" applyBorder="1" applyAlignment="1">
      <alignment horizontal="left" vertical="center" indent="1"/>
    </xf>
    <xf numFmtId="10" fontId="4" fillId="0" borderId="165" xfId="0" applyNumberFormat="1" applyFont="1" applyBorder="1" applyAlignment="1">
      <alignment horizontal="right" vertical="center" indent="1"/>
    </xf>
    <xf numFmtId="0" fontId="14" fillId="32" borderId="5" xfId="0" applyFont="1" applyFill="1" applyBorder="1" applyAlignment="1">
      <alignment horizontal="left" vertical="center" indent="1"/>
    </xf>
    <xf numFmtId="10" fontId="14" fillId="32" borderId="7" xfId="0" applyNumberFormat="1" applyFont="1" applyFill="1" applyBorder="1" applyAlignment="1">
      <alignment horizontal="right" vertical="center" indent="1"/>
    </xf>
    <xf numFmtId="0" fontId="14" fillId="32" borderId="70" xfId="0" applyFont="1" applyFill="1" applyBorder="1" applyAlignment="1">
      <alignment horizontal="left" vertical="center" indent="1"/>
    </xf>
    <xf numFmtId="10" fontId="14" fillId="32" borderId="49" xfId="0" applyNumberFormat="1" applyFont="1" applyFill="1" applyBorder="1" applyAlignment="1">
      <alignment horizontal="right" vertical="center" indent="1"/>
    </xf>
    <xf numFmtId="0" fontId="14" fillId="32" borderId="8" xfId="0" applyFont="1" applyFill="1" applyBorder="1" applyAlignment="1">
      <alignment horizontal="left" vertical="center" indent="1"/>
    </xf>
    <xf numFmtId="10" fontId="14" fillId="32" borderId="10" xfId="0" applyNumberFormat="1" applyFont="1" applyFill="1" applyBorder="1" applyAlignment="1">
      <alignment horizontal="right" vertical="center" indent="1"/>
    </xf>
    <xf numFmtId="165" fontId="5" fillId="5" borderId="3" xfId="0" applyNumberFormat="1" applyFont="1" applyFill="1" applyBorder="1" applyAlignment="1">
      <alignment horizontal="right" vertical="center" indent="1"/>
    </xf>
    <xf numFmtId="10" fontId="5" fillId="5" borderId="4" xfId="0" applyNumberFormat="1" applyFont="1" applyFill="1" applyBorder="1" applyAlignment="1">
      <alignment horizontal="right" vertical="center" indent="1"/>
    </xf>
    <xf numFmtId="165" fontId="5" fillId="0" borderId="165" xfId="0" applyNumberFormat="1" applyFont="1" applyBorder="1" applyAlignment="1">
      <alignment horizontal="right" vertical="center" indent="1"/>
    </xf>
    <xf numFmtId="10" fontId="5" fillId="0" borderId="165" xfId="0" applyNumberFormat="1" applyFont="1" applyBorder="1" applyAlignment="1">
      <alignment horizontal="right" vertical="center" indent="1"/>
    </xf>
    <xf numFmtId="0" fontId="4" fillId="0" borderId="164" xfId="0" applyFont="1" applyFill="1" applyBorder="1" applyAlignment="1">
      <alignment horizontal="right" vertical="center" indent="1"/>
    </xf>
    <xf numFmtId="165" fontId="4" fillId="0" borderId="164" xfId="0" applyNumberFormat="1" applyFont="1" applyBorder="1" applyAlignment="1">
      <alignment horizontal="right" indent="1"/>
    </xf>
    <xf numFmtId="9" fontId="4" fillId="0" borderId="164" xfId="0" applyNumberFormat="1" applyFont="1" applyBorder="1" applyAlignment="1">
      <alignment horizontal="right" vertical="center" indent="1"/>
    </xf>
    <xf numFmtId="0" fontId="33" fillId="2" borderId="2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44" fontId="103" fillId="0" borderId="0" xfId="12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10" fillId="0" borderId="199" xfId="0" applyFont="1" applyFill="1" applyBorder="1" applyAlignment="1">
      <alignment horizontal="left" vertical="center" indent="1"/>
    </xf>
    <xf numFmtId="0" fontId="10" fillId="0" borderId="167" xfId="0" applyFont="1" applyFill="1" applyBorder="1" applyAlignment="1">
      <alignment horizontal="left" vertical="center" indent="1"/>
    </xf>
    <xf numFmtId="0" fontId="9" fillId="5" borderId="2" xfId="0" applyFont="1" applyFill="1" applyBorder="1" applyAlignment="1">
      <alignment horizontal="right" vertical="center" indent="1"/>
    </xf>
    <xf numFmtId="0" fontId="10" fillId="0" borderId="0" xfId="0" applyFont="1" applyFill="1" applyBorder="1"/>
    <xf numFmtId="0" fontId="1" fillId="0" borderId="0" xfId="0" applyFont="1" applyFill="1" applyBorder="1" applyAlignment="1"/>
    <xf numFmtId="0" fontId="9" fillId="0" borderId="0" xfId="0" applyFont="1" applyFill="1" applyBorder="1" applyAlignment="1">
      <alignment horizontal="right" vertical="center" indent="1"/>
    </xf>
    <xf numFmtId="165" fontId="10" fillId="0" borderId="203" xfId="0" applyNumberFormat="1" applyFont="1" applyFill="1" applyBorder="1" applyAlignment="1">
      <alignment horizontal="right" vertical="center" indent="1"/>
    </xf>
    <xf numFmtId="165" fontId="10" fillId="0" borderId="165" xfId="0" applyNumberFormat="1" applyFont="1" applyFill="1" applyBorder="1" applyAlignment="1">
      <alignment horizontal="right" vertical="center" indent="1"/>
    </xf>
    <xf numFmtId="165" fontId="9" fillId="5" borderId="3" xfId="0" applyNumberFormat="1" applyFont="1" applyFill="1" applyBorder="1" applyAlignment="1">
      <alignment horizontal="right" vertical="center" indent="1"/>
    </xf>
    <xf numFmtId="165" fontId="9" fillId="5" borderId="4" xfId="0" applyNumberFormat="1" applyFont="1" applyFill="1" applyBorder="1" applyAlignment="1">
      <alignment horizontal="right" vertical="center" indent="1"/>
    </xf>
    <xf numFmtId="165" fontId="10" fillId="0" borderId="0" xfId="0" applyNumberFormat="1" applyFont="1" applyFill="1" applyBorder="1" applyAlignment="1">
      <alignment horizontal="right" vertical="center" indent="1"/>
    </xf>
    <xf numFmtId="165" fontId="9" fillId="0" borderId="0" xfId="0" applyNumberFormat="1" applyFont="1" applyFill="1" applyBorder="1" applyAlignment="1">
      <alignment horizontal="right" vertical="center" indent="1"/>
    </xf>
    <xf numFmtId="165" fontId="33" fillId="6" borderId="3" xfId="0" applyNumberFormat="1" applyFont="1" applyFill="1" applyBorder="1" applyAlignment="1">
      <alignment horizontal="right" vertical="center" indent="1"/>
    </xf>
    <xf numFmtId="165" fontId="33" fillId="6" borderId="4" xfId="0" applyNumberFormat="1" applyFont="1" applyFill="1" applyBorder="1" applyAlignment="1">
      <alignment horizontal="right" vertical="center" indent="1"/>
    </xf>
    <xf numFmtId="0" fontId="33" fillId="2" borderId="9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/>
    </xf>
    <xf numFmtId="0" fontId="10" fillId="0" borderId="224" xfId="0" applyFont="1" applyFill="1" applyBorder="1" applyAlignment="1">
      <alignment horizontal="left" vertical="center" indent="1"/>
    </xf>
    <xf numFmtId="165" fontId="10" fillId="0" borderId="203" xfId="0" applyNumberFormat="1" applyFont="1" applyBorder="1" applyAlignment="1">
      <alignment horizontal="right" vertical="center" indent="1"/>
    </xf>
    <xf numFmtId="0" fontId="10" fillId="0" borderId="187" xfId="0" applyFont="1" applyFill="1" applyBorder="1" applyAlignment="1">
      <alignment horizontal="left" vertical="center" indent="1"/>
    </xf>
    <xf numFmtId="165" fontId="10" fillId="0" borderId="165" xfId="0" applyNumberFormat="1" applyFont="1" applyBorder="1" applyAlignment="1">
      <alignment horizontal="right" vertical="center" indent="1"/>
    </xf>
    <xf numFmtId="0" fontId="9" fillId="5" borderId="0" xfId="0" applyFont="1" applyFill="1" applyBorder="1" applyAlignment="1">
      <alignment horizontal="right" vertical="center" indent="1"/>
    </xf>
    <xf numFmtId="165" fontId="4" fillId="5" borderId="3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right" vertical="center" indent="1"/>
    </xf>
    <xf numFmtId="165" fontId="19" fillId="6" borderId="3" xfId="0" applyNumberFormat="1" applyFont="1" applyFill="1" applyBorder="1" applyAlignment="1">
      <alignment horizontal="right" vertical="center" indent="1"/>
    </xf>
    <xf numFmtId="0" fontId="19" fillId="2" borderId="5" xfId="0" applyFont="1" applyFill="1" applyBorder="1" applyAlignment="1">
      <alignment horizontal="center" vertical="center" wrapText="1"/>
    </xf>
    <xf numFmtId="0" fontId="19" fillId="6" borderId="21" xfId="0" applyFont="1" applyFill="1" applyBorder="1" applyAlignment="1">
      <alignment horizontal="center" vertical="center"/>
    </xf>
    <xf numFmtId="165" fontId="39" fillId="0" borderId="189" xfId="0" applyNumberFormat="1" applyFont="1" applyBorder="1" applyAlignment="1">
      <alignment horizontal="right" vertical="center" indent="1"/>
    </xf>
    <xf numFmtId="165" fontId="39" fillId="0" borderId="164" xfId="0" applyNumberFormat="1" applyFont="1" applyBorder="1" applyAlignment="1">
      <alignment horizontal="right" vertical="center" indent="1"/>
    </xf>
    <xf numFmtId="0" fontId="19" fillId="6" borderId="57" xfId="0" applyFont="1" applyFill="1" applyBorder="1" applyAlignment="1">
      <alignment horizontal="center" vertical="center"/>
    </xf>
    <xf numFmtId="165" fontId="39" fillId="0" borderId="224" xfId="0" applyNumberFormat="1" applyFont="1" applyBorder="1" applyAlignment="1">
      <alignment horizontal="right" vertical="center" indent="1"/>
    </xf>
    <xf numFmtId="165" fontId="39" fillId="0" borderId="203" xfId="0" applyNumberFormat="1" applyFont="1" applyBorder="1" applyAlignment="1">
      <alignment horizontal="right" vertical="center" indent="1"/>
    </xf>
    <xf numFmtId="0" fontId="9" fillId="5" borderId="8" xfId="0" applyFont="1" applyFill="1" applyBorder="1" applyAlignment="1">
      <alignment horizontal="right" vertical="center" indent="1"/>
    </xf>
    <xf numFmtId="165" fontId="53" fillId="5" borderId="3" xfId="0" applyNumberFormat="1" applyFont="1" applyFill="1" applyBorder="1" applyAlignment="1">
      <alignment horizontal="right" vertical="center" indent="1"/>
    </xf>
    <xf numFmtId="0" fontId="9" fillId="0" borderId="231" xfId="0" applyFont="1" applyFill="1" applyBorder="1" applyAlignment="1">
      <alignment horizontal="left" vertical="center" indent="1"/>
    </xf>
    <xf numFmtId="0" fontId="9" fillId="0" borderId="201" xfId="0" applyFont="1" applyFill="1" applyBorder="1" applyAlignment="1">
      <alignment horizontal="left" vertical="center" indent="1"/>
    </xf>
    <xf numFmtId="0" fontId="9" fillId="0" borderId="165" xfId="0" applyFont="1" applyBorder="1" applyAlignment="1">
      <alignment horizontal="center" vertical="center"/>
    </xf>
    <xf numFmtId="0" fontId="9" fillId="0" borderId="164" xfId="0" applyFont="1" applyBorder="1" applyAlignment="1">
      <alignment horizontal="center" vertical="center"/>
    </xf>
    <xf numFmtId="165" fontId="10" fillId="0" borderId="164" xfId="0" applyNumberFormat="1" applyFont="1" applyBorder="1" applyAlignment="1">
      <alignment horizontal="right" vertical="center" indent="1"/>
    </xf>
    <xf numFmtId="0" fontId="33" fillId="0" borderId="0" xfId="13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165" fontId="38" fillId="5" borderId="3" xfId="14" applyNumberFormat="1" applyFont="1" applyFill="1" applyBorder="1" applyAlignment="1">
      <alignment horizontal="right" vertical="center" indent="1"/>
    </xf>
    <xf numFmtId="165" fontId="38" fillId="5" borderId="4" xfId="14" applyNumberFormat="1" applyFont="1" applyFill="1" applyBorder="1" applyAlignment="1">
      <alignment horizontal="right" vertical="center" indent="1"/>
    </xf>
    <xf numFmtId="0" fontId="37" fillId="0" borderId="186" xfId="14" applyFont="1" applyFill="1" applyBorder="1" applyAlignment="1">
      <alignment horizontal="left" vertical="center" indent="1"/>
    </xf>
    <xf numFmtId="0" fontId="105" fillId="0" borderId="187" xfId="14" applyFont="1" applyFill="1" applyBorder="1" applyAlignment="1">
      <alignment vertical="center"/>
    </xf>
    <xf numFmtId="165" fontId="37" fillId="0" borderId="165" xfId="14" applyNumberFormat="1" applyFont="1" applyFill="1" applyBorder="1" applyAlignment="1">
      <alignment horizontal="right" vertical="center" indent="1"/>
    </xf>
    <xf numFmtId="0" fontId="37" fillId="0" borderId="188" xfId="14" applyFont="1" applyFill="1" applyBorder="1" applyAlignment="1">
      <alignment horizontal="left" vertical="center" indent="1"/>
    </xf>
    <xf numFmtId="0" fontId="105" fillId="0" borderId="189" xfId="14" applyFont="1" applyFill="1" applyBorder="1" applyAlignment="1">
      <alignment vertical="center"/>
    </xf>
    <xf numFmtId="165" fontId="37" fillId="0" borderId="164" xfId="14" applyNumberFormat="1" applyFont="1" applyFill="1" applyBorder="1" applyAlignment="1">
      <alignment horizontal="right" vertical="center" indent="1"/>
    </xf>
    <xf numFmtId="0" fontId="37" fillId="0" borderId="0" xfId="14" applyFont="1" applyFill="1" applyBorder="1" applyAlignment="1">
      <alignment horizontal="left" vertical="top" indent="1"/>
    </xf>
    <xf numFmtId="0" fontId="105" fillId="0" borderId="0" xfId="14" applyFont="1" applyFill="1" applyBorder="1" applyAlignment="1">
      <alignment vertical="top"/>
    </xf>
    <xf numFmtId="165" fontId="37" fillId="0" borderId="0" xfId="14" applyNumberFormat="1" applyFont="1" applyFill="1" applyBorder="1" applyAlignment="1">
      <alignment horizontal="right" vertical="center" indent="1"/>
    </xf>
    <xf numFmtId="0" fontId="22" fillId="6" borderId="2" xfId="0" applyFont="1" applyFill="1" applyBorder="1" applyAlignment="1">
      <alignment horizontal="right" vertical="center" indent="1"/>
    </xf>
    <xf numFmtId="165" fontId="22" fillId="6" borderId="3" xfId="0" applyNumberFormat="1" applyFont="1" applyFill="1" applyBorder="1" applyAlignment="1">
      <alignment horizontal="right" vertical="center" indent="1"/>
    </xf>
    <xf numFmtId="165" fontId="22" fillId="6" borderId="4" xfId="0" applyNumberFormat="1" applyFont="1" applyFill="1" applyBorder="1" applyAlignment="1">
      <alignment horizontal="right" vertical="center" indent="1"/>
    </xf>
    <xf numFmtId="0" fontId="10" fillId="0" borderId="0" xfId="0" applyFont="1" applyAlignment="1">
      <alignment horizontal="left" indent="2"/>
    </xf>
    <xf numFmtId="179" fontId="22" fillId="6" borderId="220" xfId="0" applyNumberFormat="1" applyFont="1" applyFill="1" applyBorder="1" applyAlignment="1">
      <alignment horizontal="center" vertical="center" wrapText="1"/>
    </xf>
    <xf numFmtId="179" fontId="22" fillId="6" borderId="221" xfId="0" applyNumberFormat="1" applyFont="1" applyFill="1" applyBorder="1" applyAlignment="1">
      <alignment horizontal="center" vertical="center" wrapText="1"/>
    </xf>
    <xf numFmtId="179" fontId="9" fillId="0" borderId="234" xfId="0" applyNumberFormat="1" applyFont="1" applyBorder="1" applyAlignment="1">
      <alignment horizontal="center" vertical="center"/>
    </xf>
    <xf numFmtId="179" fontId="10" fillId="0" borderId="235" xfId="0" applyNumberFormat="1" applyFont="1" applyBorder="1" applyAlignment="1">
      <alignment vertical="center"/>
    </xf>
    <xf numFmtId="179" fontId="10" fillId="0" borderId="236" xfId="0" applyNumberFormat="1" applyFont="1" applyBorder="1" applyAlignment="1">
      <alignment horizontal="right" vertical="center"/>
    </xf>
    <xf numFmtId="10" fontId="68" fillId="0" borderId="237" xfId="0" applyNumberFormat="1" applyFont="1" applyBorder="1" applyAlignment="1">
      <alignment horizontal="right" vertical="center"/>
    </xf>
    <xf numFmtId="179" fontId="10" fillId="0" borderId="238" xfId="0" applyNumberFormat="1" applyFont="1" applyBorder="1" applyAlignment="1">
      <alignment vertical="center"/>
    </xf>
    <xf numFmtId="10" fontId="68" fillId="0" borderId="239" xfId="0" applyNumberFormat="1" applyFont="1" applyBorder="1" applyAlignment="1">
      <alignment horizontal="right" vertical="center"/>
    </xf>
    <xf numFmtId="179" fontId="9" fillId="0" borderId="240" xfId="0" applyNumberFormat="1" applyFont="1" applyBorder="1" applyAlignment="1">
      <alignment horizontal="center" vertical="center"/>
    </xf>
    <xf numFmtId="179" fontId="10" fillId="0" borderId="241" xfId="0" applyNumberFormat="1" applyFont="1" applyBorder="1" applyAlignment="1">
      <alignment vertical="center"/>
    </xf>
    <xf numFmtId="179" fontId="10" fillId="0" borderId="242" xfId="0" applyNumberFormat="1" applyFont="1" applyBorder="1" applyAlignment="1">
      <alignment horizontal="right" vertical="center"/>
    </xf>
    <xf numFmtId="10" fontId="68" fillId="0" borderId="243" xfId="0" applyNumberFormat="1" applyFont="1" applyBorder="1" applyAlignment="1">
      <alignment horizontal="right" vertical="center"/>
    </xf>
    <xf numFmtId="179" fontId="10" fillId="0" borderId="244" xfId="0" applyNumberFormat="1" applyFont="1" applyBorder="1" applyAlignment="1">
      <alignment vertical="center"/>
    </xf>
    <xf numFmtId="10" fontId="68" fillId="0" borderId="245" xfId="0" applyNumberFormat="1" applyFont="1" applyBorder="1" applyAlignment="1">
      <alignment horizontal="right" vertical="center"/>
    </xf>
    <xf numFmtId="179" fontId="9" fillId="0" borderId="246" xfId="0" applyNumberFormat="1" applyFont="1" applyBorder="1" applyAlignment="1">
      <alignment horizontal="center" vertical="center"/>
    </xf>
    <xf numFmtId="179" fontId="10" fillId="0" borderId="247" xfId="0" applyNumberFormat="1" applyFont="1" applyBorder="1" applyAlignment="1">
      <alignment vertical="center"/>
    </xf>
    <xf numFmtId="179" fontId="10" fillId="0" borderId="248" xfId="0" applyNumberFormat="1" applyFont="1" applyBorder="1" applyAlignment="1">
      <alignment horizontal="right" vertical="center"/>
    </xf>
    <xf numFmtId="10" fontId="68" fillId="0" borderId="249" xfId="0" applyNumberFormat="1" applyFont="1" applyBorder="1" applyAlignment="1">
      <alignment horizontal="right" vertical="center"/>
    </xf>
    <xf numFmtId="179" fontId="10" fillId="0" borderId="250" xfId="0" applyNumberFormat="1" applyFont="1" applyBorder="1" applyAlignment="1">
      <alignment vertical="center"/>
    </xf>
    <xf numFmtId="10" fontId="68" fillId="0" borderId="251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 indent="4"/>
    </xf>
    <xf numFmtId="0" fontId="106" fillId="0" borderId="0" xfId="0" applyFont="1" applyFill="1" applyBorder="1" applyAlignment="1">
      <alignment horizontal="center" vertical="center"/>
    </xf>
    <xf numFmtId="0" fontId="10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9" fillId="0" borderId="253" xfId="0" applyFont="1" applyFill="1" applyBorder="1" applyAlignment="1">
      <alignment horizontal="left" vertical="center" indent="1"/>
    </xf>
    <xf numFmtId="165" fontId="10" fillId="0" borderId="254" xfId="0" applyNumberFormat="1" applyFont="1" applyFill="1" applyBorder="1" applyAlignment="1">
      <alignment horizontal="right" vertical="center" indent="1"/>
    </xf>
    <xf numFmtId="166" fontId="32" fillId="0" borderId="255" xfId="0" applyNumberFormat="1" applyFont="1" applyFill="1" applyBorder="1" applyAlignment="1">
      <alignment horizontal="right" vertical="center" indent="1"/>
    </xf>
    <xf numFmtId="0" fontId="9" fillId="0" borderId="256" xfId="0" applyFont="1" applyFill="1" applyBorder="1" applyAlignment="1">
      <alignment horizontal="left" vertical="center" indent="1"/>
    </xf>
    <xf numFmtId="165" fontId="10" fillId="0" borderId="257" xfId="0" applyNumberFormat="1" applyFont="1" applyFill="1" applyBorder="1" applyAlignment="1">
      <alignment horizontal="right" vertical="center" indent="1"/>
    </xf>
    <xf numFmtId="166" fontId="32" fillId="0" borderId="258" xfId="0" applyNumberFormat="1" applyFont="1" applyFill="1" applyBorder="1" applyAlignment="1">
      <alignment horizontal="right" vertical="center" indent="1"/>
    </xf>
    <xf numFmtId="0" fontId="9" fillId="5" borderId="259" xfId="0" applyFont="1" applyFill="1" applyBorder="1" applyAlignment="1">
      <alignment horizontal="left" vertical="center" indent="1"/>
    </xf>
    <xf numFmtId="165" fontId="9" fillId="5" borderId="260" xfId="0" applyNumberFormat="1" applyFont="1" applyFill="1" applyBorder="1" applyAlignment="1">
      <alignment horizontal="right" vertical="center" indent="1"/>
    </xf>
    <xf numFmtId="166" fontId="68" fillId="5" borderId="261" xfId="0" applyNumberFormat="1" applyFont="1" applyFill="1" applyBorder="1" applyAlignment="1">
      <alignment horizontal="right" vertical="center" indent="1"/>
    </xf>
    <xf numFmtId="165" fontId="9" fillId="5" borderId="2" xfId="0" applyNumberFormat="1" applyFont="1" applyFill="1" applyBorder="1" applyAlignment="1">
      <alignment horizontal="right" vertical="center" indent="1"/>
    </xf>
    <xf numFmtId="166" fontId="68" fillId="5" borderId="4" xfId="0" applyNumberFormat="1" applyFont="1" applyFill="1" applyBorder="1" applyAlignment="1">
      <alignment horizontal="right" vertical="center" indent="1"/>
    </xf>
    <xf numFmtId="0" fontId="33" fillId="0" borderId="174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65" fontId="22" fillId="6" borderId="262" xfId="0" applyNumberFormat="1" applyFont="1" applyFill="1" applyBorder="1" applyAlignment="1">
      <alignment horizontal="right" vertical="center" indent="1"/>
    </xf>
    <xf numFmtId="165" fontId="22" fillId="6" borderId="263" xfId="0" applyNumberFormat="1" applyFont="1" applyFill="1" applyBorder="1" applyAlignment="1">
      <alignment horizontal="right" vertical="center" indent="1"/>
    </xf>
    <xf numFmtId="165" fontId="22" fillId="6" borderId="264" xfId="0" applyNumberFormat="1" applyFont="1" applyFill="1" applyBorder="1" applyAlignment="1">
      <alignment horizontal="right" vertical="center" indent="1"/>
    </xf>
    <xf numFmtId="165" fontId="0" fillId="0" borderId="0" xfId="0" applyNumberFormat="1"/>
    <xf numFmtId="0" fontId="10" fillId="0" borderId="0" xfId="0" applyFont="1" applyFill="1" applyBorder="1" applyAlignment="1">
      <alignment horizontal="left" vertical="center" indent="1"/>
    </xf>
    <xf numFmtId="0" fontId="10" fillId="0" borderId="165" xfId="0" applyFont="1" applyFill="1" applyBorder="1" applyAlignment="1">
      <alignment horizontal="left" vertical="center" indent="1"/>
    </xf>
    <xf numFmtId="165" fontId="22" fillId="25" borderId="3" xfId="0" applyNumberFormat="1" applyFont="1" applyFill="1" applyBorder="1" applyAlignment="1">
      <alignment horizontal="right" vertical="center" indent="1"/>
    </xf>
    <xf numFmtId="165" fontId="22" fillId="25" borderId="4" xfId="0" applyNumberFormat="1" applyFont="1" applyFill="1" applyBorder="1" applyAlignment="1">
      <alignment horizontal="right" vertical="center" indent="1"/>
    </xf>
    <xf numFmtId="0" fontId="38" fillId="0" borderId="165" xfId="15" applyFont="1" applyBorder="1" applyAlignment="1">
      <alignment horizontal="center" vertical="center" wrapText="1"/>
    </xf>
    <xf numFmtId="165" fontId="37" fillId="0" borderId="165" xfId="15" applyNumberFormat="1" applyFont="1" applyBorder="1" applyAlignment="1">
      <alignment horizontal="right" vertical="center" wrapText="1" indent="1"/>
    </xf>
    <xf numFmtId="0" fontId="38" fillId="5" borderId="2" xfId="15" applyFont="1" applyFill="1" applyBorder="1" applyAlignment="1">
      <alignment horizontal="center" vertical="center" wrapText="1"/>
    </xf>
    <xf numFmtId="165" fontId="37" fillId="5" borderId="3" xfId="15" applyNumberFormat="1" applyFont="1" applyFill="1" applyBorder="1" applyAlignment="1">
      <alignment horizontal="right" vertical="center" wrapText="1" indent="1"/>
    </xf>
    <xf numFmtId="165" fontId="37" fillId="5" borderId="4" xfId="15" applyNumberFormat="1" applyFont="1" applyFill="1" applyBorder="1" applyAlignment="1">
      <alignment horizontal="right" vertical="center" wrapText="1" indent="1"/>
    </xf>
    <xf numFmtId="0" fontId="22" fillId="6" borderId="9" xfId="15" applyFont="1" applyFill="1" applyBorder="1" applyAlignment="1">
      <alignment horizontal="center" vertical="center" wrapText="1"/>
    </xf>
    <xf numFmtId="0" fontId="22" fillId="6" borderId="10" xfId="15" applyFont="1" applyFill="1" applyBorder="1" applyAlignment="1">
      <alignment horizontal="center" vertical="center" wrapText="1"/>
    </xf>
    <xf numFmtId="165" fontId="108" fillId="0" borderId="165" xfId="15" applyNumberFormat="1" applyFont="1" applyBorder="1" applyAlignment="1">
      <alignment horizontal="right" vertical="center" wrapText="1" indent="1"/>
    </xf>
    <xf numFmtId="165" fontId="108" fillId="5" borderId="3" xfId="15" applyNumberFormat="1" applyFont="1" applyFill="1" applyBorder="1" applyAlignment="1">
      <alignment horizontal="right" vertical="center" wrapText="1" indent="1"/>
    </xf>
    <xf numFmtId="0" fontId="9" fillId="0" borderId="165" xfId="0" applyFont="1" applyBorder="1" applyAlignment="1">
      <alignment horizontal="left" vertical="center" indent="1"/>
    </xf>
    <xf numFmtId="0" fontId="9" fillId="0" borderId="164" xfId="0" applyFont="1" applyFill="1" applyBorder="1" applyAlignment="1">
      <alignment horizontal="left" vertical="center" indent="1"/>
    </xf>
    <xf numFmtId="165" fontId="10" fillId="0" borderId="0" xfId="0" applyNumberFormat="1" applyFont="1" applyBorder="1" applyAlignment="1">
      <alignment vertical="center"/>
    </xf>
    <xf numFmtId="0" fontId="22" fillId="6" borderId="196" xfId="0" applyFont="1" applyFill="1" applyBorder="1" applyAlignment="1">
      <alignment horizontal="right" vertical="center" indent="2"/>
    </xf>
    <xf numFmtId="165" fontId="22" fillId="6" borderId="197" xfId="0" applyNumberFormat="1" applyFont="1" applyFill="1" applyBorder="1" applyAlignment="1">
      <alignment horizontal="right" vertical="center"/>
    </xf>
    <xf numFmtId="165" fontId="22" fillId="6" borderId="198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 indent="4"/>
    </xf>
    <xf numFmtId="0" fontId="33" fillId="2" borderId="265" xfId="0" applyFont="1" applyFill="1" applyBorder="1" applyAlignment="1">
      <alignment horizontal="center" vertical="center"/>
    </xf>
    <xf numFmtId="0" fontId="22" fillId="6" borderId="196" xfId="0" applyFont="1" applyFill="1" applyBorder="1" applyAlignment="1">
      <alignment horizontal="right" vertical="center" indent="1"/>
    </xf>
    <xf numFmtId="165" fontId="22" fillId="6" borderId="197" xfId="0" applyNumberFormat="1" applyFont="1" applyFill="1" applyBorder="1" applyAlignment="1">
      <alignment horizontal="right" vertical="center" indent="1"/>
    </xf>
    <xf numFmtId="165" fontId="22" fillId="6" borderId="198" xfId="0" applyNumberFormat="1" applyFont="1" applyFill="1" applyBorder="1" applyAlignment="1">
      <alignment horizontal="right" vertical="center" indent="1"/>
    </xf>
    <xf numFmtId="0" fontId="33" fillId="2" borderId="267" xfId="0" applyFont="1" applyFill="1" applyBorder="1" applyAlignment="1">
      <alignment horizontal="right" vertical="center"/>
    </xf>
    <xf numFmtId="0" fontId="33" fillId="2" borderId="269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164" fontId="9" fillId="0" borderId="0" xfId="2" applyNumberFormat="1" applyFont="1" applyBorder="1" applyAlignment="1">
      <alignment vertical="center"/>
    </xf>
    <xf numFmtId="0" fontId="9" fillId="5" borderId="28" xfId="0" applyFont="1" applyFill="1" applyBorder="1" applyAlignment="1">
      <alignment horizontal="center" vertical="center"/>
    </xf>
    <xf numFmtId="176" fontId="9" fillId="5" borderId="3" xfId="0" applyNumberFormat="1" applyFont="1" applyFill="1" applyBorder="1" applyAlignment="1">
      <alignment horizontal="right" vertical="center" indent="1"/>
    </xf>
    <xf numFmtId="180" fontId="10" fillId="5" borderId="3" xfId="0" applyNumberFormat="1" applyFont="1" applyFill="1" applyBorder="1" applyAlignment="1">
      <alignment horizontal="right" vertical="center" indent="1"/>
    </xf>
    <xf numFmtId="0" fontId="9" fillId="0" borderId="271" xfId="0" applyFont="1" applyFill="1" applyBorder="1" applyAlignment="1">
      <alignment horizontal="center" vertical="center"/>
    </xf>
    <xf numFmtId="176" fontId="9" fillId="0" borderId="271" xfId="0" applyNumberFormat="1" applyFont="1" applyBorder="1" applyAlignment="1">
      <alignment horizontal="right" vertical="center" indent="1"/>
    </xf>
    <xf numFmtId="176" fontId="10" fillId="0" borderId="271" xfId="0" applyNumberFormat="1" applyFont="1" applyBorder="1" applyAlignment="1">
      <alignment horizontal="right" vertical="center" indent="1"/>
    </xf>
    <xf numFmtId="180" fontId="10" fillId="0" borderId="271" xfId="0" applyNumberFormat="1" applyFont="1" applyBorder="1" applyAlignment="1">
      <alignment horizontal="right" vertical="center" indent="1"/>
    </xf>
    <xf numFmtId="0" fontId="8" fillId="0" borderId="271" xfId="0" applyFont="1" applyBorder="1" applyAlignment="1">
      <alignment horizontal="right" vertical="center" indent="1"/>
    </xf>
    <xf numFmtId="0" fontId="9" fillId="19" borderId="271" xfId="0" applyFont="1" applyFill="1" applyBorder="1" applyAlignment="1">
      <alignment horizontal="center" vertical="center"/>
    </xf>
    <xf numFmtId="0" fontId="9" fillId="0" borderId="272" xfId="0" applyFont="1" applyFill="1" applyBorder="1" applyAlignment="1">
      <alignment horizontal="center" vertical="center"/>
    </xf>
    <xf numFmtId="176" fontId="9" fillId="0" borderId="272" xfId="0" applyNumberFormat="1" applyFont="1" applyBorder="1" applyAlignment="1">
      <alignment horizontal="right" vertical="center" indent="1"/>
    </xf>
    <xf numFmtId="176" fontId="10" fillId="0" borderId="272" xfId="0" applyNumberFormat="1" applyFont="1" applyBorder="1" applyAlignment="1">
      <alignment horizontal="right" vertical="center" indent="1"/>
    </xf>
    <xf numFmtId="180" fontId="10" fillId="0" borderId="272" xfId="0" applyNumberFormat="1" applyFont="1" applyBorder="1" applyAlignment="1">
      <alignment horizontal="right" vertical="center" indent="1"/>
    </xf>
    <xf numFmtId="0" fontId="33" fillId="2" borderId="205" xfId="0" applyFont="1" applyFill="1" applyBorder="1" applyAlignment="1">
      <alignment horizontal="center" vertical="center"/>
    </xf>
    <xf numFmtId="0" fontId="33" fillId="2" borderId="174" xfId="0" applyFont="1" applyFill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164" fontId="90" fillId="0" borderId="0" xfId="2" applyNumberFormat="1" applyFont="1" applyBorder="1" applyAlignment="1">
      <alignment vertical="center"/>
    </xf>
    <xf numFmtId="176" fontId="22" fillId="6" borderId="3" xfId="0" applyNumberFormat="1" applyFont="1" applyFill="1" applyBorder="1" applyAlignment="1">
      <alignment horizontal="right" vertical="center" indent="1"/>
    </xf>
    <xf numFmtId="176" fontId="22" fillId="6" borderId="4" xfId="0" applyNumberFormat="1" applyFont="1" applyFill="1" applyBorder="1" applyAlignment="1">
      <alignment horizontal="right" vertical="center" indent="1"/>
    </xf>
    <xf numFmtId="164" fontId="9" fillId="0" borderId="0" xfId="2" applyNumberFormat="1" applyFont="1" applyBorder="1" applyAlignment="1">
      <alignment horizontal="right" vertical="center" indent="1"/>
    </xf>
    <xf numFmtId="176" fontId="10" fillId="0" borderId="165" xfId="0" applyNumberFormat="1" applyFont="1" applyBorder="1" applyAlignment="1">
      <alignment horizontal="right" vertical="center" indent="1"/>
    </xf>
    <xf numFmtId="0" fontId="33" fillId="2" borderId="173" xfId="2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/>
    </xf>
    <xf numFmtId="0" fontId="33" fillId="0" borderId="0" xfId="2" applyFont="1" applyFill="1" applyBorder="1" applyAlignment="1">
      <alignment horizontal="center" vertical="center"/>
    </xf>
    <xf numFmtId="0" fontId="9" fillId="0" borderId="203" xfId="0" applyFont="1" applyBorder="1" applyAlignment="1">
      <alignment horizontal="center" vertical="center"/>
    </xf>
    <xf numFmtId="167" fontId="10" fillId="0" borderId="203" xfId="2" applyNumberFormat="1" applyFont="1" applyBorder="1" applyAlignment="1">
      <alignment horizontal="right" vertical="center" indent="1"/>
    </xf>
    <xf numFmtId="167" fontId="10" fillId="0" borderId="165" xfId="2" applyNumberFormat="1" applyFont="1" applyBorder="1" applyAlignment="1">
      <alignment horizontal="right" vertical="center" indent="1"/>
    </xf>
    <xf numFmtId="0" fontId="9" fillId="0" borderId="275" xfId="0" applyFont="1" applyBorder="1" applyAlignment="1">
      <alignment horizontal="center" vertical="center"/>
    </xf>
    <xf numFmtId="167" fontId="10" fillId="0" borderId="275" xfId="2" applyNumberFormat="1" applyFont="1" applyBorder="1" applyAlignment="1">
      <alignment horizontal="right" vertical="center" indent="1"/>
    </xf>
    <xf numFmtId="0" fontId="10" fillId="0" borderId="0" xfId="0" applyFont="1" applyBorder="1" applyAlignment="1">
      <alignment horizontal="center" vertical="center"/>
    </xf>
    <xf numFmtId="167" fontId="10" fillId="0" borderId="0" xfId="2" applyNumberFormat="1" applyFont="1" applyBorder="1" applyAlignment="1">
      <alignment horizontal="right" vertical="center" indent="1"/>
    </xf>
    <xf numFmtId="167" fontId="10" fillId="0" borderId="165" xfId="0" applyNumberFormat="1" applyFont="1" applyBorder="1" applyAlignment="1">
      <alignment horizontal="right" vertical="center" indent="1"/>
    </xf>
    <xf numFmtId="0" fontId="39" fillId="0" borderId="0" xfId="0" applyFont="1" applyAlignment="1">
      <alignment vertical="center"/>
    </xf>
    <xf numFmtId="0" fontId="22" fillId="2" borderId="276" xfId="0" applyFont="1" applyFill="1" applyBorder="1" applyAlignment="1">
      <alignment horizontal="right" vertical="top"/>
    </xf>
    <xf numFmtId="0" fontId="22" fillId="2" borderId="2" xfId="0" applyFont="1" applyFill="1" applyBorder="1" applyAlignment="1">
      <alignment horizontal="left" vertical="center"/>
    </xf>
    <xf numFmtId="176" fontId="9" fillId="0" borderId="271" xfId="0" applyNumberFormat="1" applyFont="1" applyFill="1" applyBorder="1" applyAlignment="1">
      <alignment horizontal="right" vertical="center" indent="1"/>
    </xf>
    <xf numFmtId="176" fontId="10" fillId="0" borderId="271" xfId="0" applyNumberFormat="1" applyFont="1" applyFill="1" applyBorder="1" applyAlignment="1">
      <alignment horizontal="right" vertical="center" indent="1"/>
    </xf>
    <xf numFmtId="180" fontId="10" fillId="0" borderId="271" xfId="0" applyNumberFormat="1" applyFont="1" applyFill="1" applyBorder="1" applyAlignment="1">
      <alignment horizontal="right" vertical="center" indent="1"/>
    </xf>
    <xf numFmtId="176" fontId="9" fillId="0" borderId="280" xfId="0" applyNumberFormat="1" applyFont="1" applyFill="1" applyBorder="1" applyAlignment="1">
      <alignment horizontal="right" vertical="center" indent="1"/>
    </xf>
    <xf numFmtId="176" fontId="10" fillId="0" borderId="281" xfId="0" applyNumberFormat="1" applyFont="1" applyFill="1" applyBorder="1" applyAlignment="1">
      <alignment horizontal="right" vertical="center" indent="1"/>
    </xf>
    <xf numFmtId="180" fontId="10" fillId="0" borderId="281" xfId="0" applyNumberFormat="1" applyFont="1" applyFill="1" applyBorder="1" applyAlignment="1">
      <alignment horizontal="right" vertical="center" indent="1"/>
    </xf>
    <xf numFmtId="0" fontId="9" fillId="5" borderId="8" xfId="0" applyFont="1" applyFill="1" applyBorder="1" applyAlignment="1">
      <alignment horizontal="center" vertical="center"/>
    </xf>
    <xf numFmtId="167" fontId="10" fillId="5" borderId="10" xfId="0" applyNumberFormat="1" applyFont="1" applyFill="1" applyBorder="1" applyAlignment="1">
      <alignment horizontal="right" vertical="center" indent="1"/>
    </xf>
    <xf numFmtId="0" fontId="25" fillId="5" borderId="28" xfId="0" applyFont="1" applyFill="1" applyBorder="1" applyAlignment="1">
      <alignment horizontal="center" vertical="center" wrapText="1"/>
    </xf>
    <xf numFmtId="0" fontId="25" fillId="0" borderId="164" xfId="0" applyFont="1" applyFill="1" applyBorder="1" applyAlignment="1">
      <alignment horizontal="center" vertical="center" wrapText="1"/>
    </xf>
    <xf numFmtId="2" fontId="23" fillId="0" borderId="164" xfId="0" applyNumberFormat="1" applyFont="1" applyFill="1" applyBorder="1" applyAlignment="1">
      <alignment horizontal="center" vertical="center" wrapText="1"/>
    </xf>
    <xf numFmtId="0" fontId="25" fillId="0" borderId="165" xfId="0" applyFont="1" applyFill="1" applyBorder="1" applyAlignment="1">
      <alignment horizontal="center" vertical="center" wrapText="1"/>
    </xf>
    <xf numFmtId="2" fontId="23" fillId="0" borderId="165" xfId="0" applyNumberFormat="1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right" vertical="center" indent="1"/>
    </xf>
    <xf numFmtId="0" fontId="4" fillId="0" borderId="230" xfId="0" applyFont="1" applyBorder="1" applyAlignment="1">
      <alignment horizontal="center" vertical="center"/>
    </xf>
    <xf numFmtId="165" fontId="4" fillId="0" borderId="230" xfId="0" applyNumberFormat="1" applyFont="1" applyBorder="1" applyAlignment="1">
      <alignment horizontal="right" vertical="center" indent="1"/>
    </xf>
    <xf numFmtId="165" fontId="5" fillId="0" borderId="230" xfId="0" applyNumberFormat="1" applyFont="1" applyBorder="1" applyAlignment="1">
      <alignment horizontal="right" vertical="center" indent="1"/>
    </xf>
    <xf numFmtId="0" fontId="4" fillId="5" borderId="2" xfId="0" applyFont="1" applyFill="1" applyBorder="1" applyAlignment="1">
      <alignment horizontal="center" vertical="center"/>
    </xf>
    <xf numFmtId="165" fontId="5" fillId="5" borderId="4" xfId="0" applyNumberFormat="1" applyFont="1" applyFill="1" applyBorder="1" applyAlignment="1">
      <alignment horizontal="right" vertical="center" indent="1"/>
    </xf>
    <xf numFmtId="0" fontId="4" fillId="0" borderId="165" xfId="0" applyFont="1" applyBorder="1" applyAlignment="1">
      <alignment horizontal="center" vertical="center"/>
    </xf>
    <xf numFmtId="165" fontId="4" fillId="0" borderId="165" xfId="0" applyNumberFormat="1" applyFont="1" applyBorder="1" applyAlignment="1">
      <alignment horizontal="right" vertical="center" indent="1"/>
    </xf>
    <xf numFmtId="0" fontId="33" fillId="2" borderId="173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168" xfId="0" applyFont="1" applyFill="1" applyBorder="1" applyAlignment="1">
      <alignment horizontal="center" vertical="center"/>
    </xf>
    <xf numFmtId="0" fontId="10" fillId="0" borderId="283" xfId="0" applyFont="1" applyFill="1" applyBorder="1" applyAlignment="1">
      <alignment horizontal="left" vertical="center" indent="2"/>
    </xf>
    <xf numFmtId="165" fontId="10" fillId="0" borderId="284" xfId="0" applyNumberFormat="1" applyFont="1" applyFill="1" applyBorder="1" applyAlignment="1">
      <alignment horizontal="right" vertical="center" indent="1"/>
    </xf>
    <xf numFmtId="0" fontId="10" fillId="0" borderId="285" xfId="0" applyFont="1" applyFill="1" applyBorder="1" applyAlignment="1">
      <alignment horizontal="left" vertical="center" indent="2"/>
    </xf>
    <xf numFmtId="165" fontId="10" fillId="0" borderId="286" xfId="0" applyNumberFormat="1" applyFont="1" applyFill="1" applyBorder="1" applyAlignment="1">
      <alignment horizontal="right" vertical="center" indent="1"/>
    </xf>
    <xf numFmtId="0" fontId="9" fillId="5" borderId="287" xfId="0" applyFont="1" applyFill="1" applyBorder="1" applyAlignment="1">
      <alignment horizontal="left" vertical="center" indent="2"/>
    </xf>
    <xf numFmtId="165" fontId="9" fillId="5" borderId="176" xfId="0" applyNumberFormat="1" applyFont="1" applyFill="1" applyBorder="1" applyAlignment="1">
      <alignment horizontal="right" vertical="center" indent="1"/>
    </xf>
    <xf numFmtId="165" fontId="9" fillId="5" borderId="208" xfId="0" applyNumberFormat="1" applyFont="1" applyFill="1" applyBorder="1" applyAlignment="1">
      <alignment horizontal="right" vertical="center" indent="1"/>
    </xf>
    <xf numFmtId="0" fontId="10" fillId="0" borderId="288" xfId="0" applyFont="1" applyFill="1" applyBorder="1" applyAlignment="1">
      <alignment horizontal="left" vertical="center" indent="2"/>
    </xf>
    <xf numFmtId="165" fontId="10" fillId="0" borderId="164" xfId="0" applyNumberFormat="1" applyFont="1" applyFill="1" applyBorder="1" applyAlignment="1">
      <alignment horizontal="right" vertical="center" indent="1"/>
    </xf>
    <xf numFmtId="0" fontId="9" fillId="5" borderId="289" xfId="0" applyFont="1" applyFill="1" applyBorder="1" applyAlignment="1">
      <alignment horizontal="left" vertical="center" indent="2"/>
    </xf>
    <xf numFmtId="165" fontId="9" fillId="5" borderId="290" xfId="0" applyNumberFormat="1" applyFont="1" applyFill="1" applyBorder="1" applyAlignment="1">
      <alignment horizontal="right" vertical="center" indent="1"/>
    </xf>
    <xf numFmtId="165" fontId="9" fillId="5" borderId="291" xfId="0" applyNumberFormat="1" applyFont="1" applyFill="1" applyBorder="1" applyAlignment="1">
      <alignment horizontal="right" vertical="center" indent="1"/>
    </xf>
    <xf numFmtId="0" fontId="33" fillId="0" borderId="23" xfId="0" applyFont="1" applyFill="1" applyBorder="1" applyAlignment="1">
      <alignment horizontal="center" vertical="center"/>
    </xf>
    <xf numFmtId="0" fontId="10" fillId="0" borderId="169" xfId="0" applyFont="1" applyFill="1" applyBorder="1"/>
    <xf numFmtId="0" fontId="9" fillId="0" borderId="168" xfId="0" applyFont="1" applyFill="1" applyBorder="1" applyAlignment="1">
      <alignment horizontal="left" vertical="center" indent="2"/>
    </xf>
    <xf numFmtId="165" fontId="9" fillId="0" borderId="22" xfId="0" applyNumberFormat="1" applyFont="1" applyFill="1" applyBorder="1" applyAlignment="1">
      <alignment horizontal="right" vertical="center" indent="1"/>
    </xf>
    <xf numFmtId="0" fontId="10" fillId="0" borderId="302" xfId="0" applyFont="1" applyFill="1" applyBorder="1" applyAlignment="1">
      <alignment horizontal="left" vertical="center" indent="2"/>
    </xf>
    <xf numFmtId="0" fontId="10" fillId="0" borderId="300" xfId="0" applyFont="1" applyFill="1" applyBorder="1" applyAlignment="1">
      <alignment horizontal="left" vertical="center" indent="2"/>
    </xf>
    <xf numFmtId="0" fontId="10" fillId="0" borderId="301" xfId="0" applyFont="1" applyFill="1" applyBorder="1" applyAlignment="1">
      <alignment horizontal="left" vertical="center" indent="2"/>
    </xf>
    <xf numFmtId="165" fontId="9" fillId="3" borderId="284" xfId="11" applyNumberFormat="1" applyFont="1" applyFill="1" applyBorder="1" applyAlignment="1">
      <alignment horizontal="right" vertical="center" indent="1"/>
    </xf>
    <xf numFmtId="165" fontId="9" fillId="3" borderId="203" xfId="11" applyNumberFormat="1" applyFont="1" applyFill="1" applyBorder="1" applyAlignment="1">
      <alignment horizontal="right" vertical="center" indent="1"/>
    </xf>
    <xf numFmtId="0" fontId="19" fillId="2" borderId="0" xfId="0" applyFont="1" applyFill="1" applyAlignment="1">
      <alignment horizontal="right" vertical="center" indent="2"/>
    </xf>
    <xf numFmtId="0" fontId="19" fillId="0" borderId="0" xfId="0" applyFont="1" applyFill="1" applyBorder="1" applyAlignment="1">
      <alignment horizontal="right" vertical="center" indent="2"/>
    </xf>
    <xf numFmtId="0" fontId="7" fillId="0" borderId="0" xfId="0" applyFont="1" applyBorder="1" applyAlignment="1">
      <alignment horizontal="center" vertical="center" wrapText="1"/>
    </xf>
    <xf numFmtId="0" fontId="22" fillId="2" borderId="304" xfId="0" applyFont="1" applyFill="1" applyBorder="1" applyAlignment="1">
      <alignment horizontal="center" vertical="center" wrapText="1"/>
    </xf>
    <xf numFmtId="0" fontId="127" fillId="0" borderId="305" xfId="0" applyFont="1" applyBorder="1" applyAlignment="1">
      <alignment horizontal="center" vertical="center" wrapText="1"/>
    </xf>
    <xf numFmtId="165" fontId="8" fillId="0" borderId="306" xfId="0" applyNumberFormat="1" applyFont="1" applyBorder="1" applyAlignment="1">
      <alignment horizontal="right" vertical="center" indent="1"/>
    </xf>
    <xf numFmtId="165" fontId="8" fillId="0" borderId="307" xfId="0" applyNumberFormat="1" applyFont="1" applyBorder="1" applyAlignment="1">
      <alignment horizontal="right" vertical="center" indent="1"/>
    </xf>
    <xf numFmtId="165" fontId="8" fillId="0" borderId="187" xfId="0" applyNumberFormat="1" applyFont="1" applyBorder="1" applyAlignment="1">
      <alignment horizontal="right" vertical="center" indent="1"/>
    </xf>
    <xf numFmtId="165" fontId="8" fillId="0" borderId="186" xfId="0" applyNumberFormat="1" applyFont="1" applyBorder="1" applyAlignment="1">
      <alignment horizontal="right" vertical="center" indent="1"/>
    </xf>
    <xf numFmtId="0" fontId="22" fillId="25" borderId="308" xfId="0" applyFont="1" applyFill="1" applyBorder="1" applyAlignment="1">
      <alignment horizontal="center" vertical="center" wrapText="1"/>
    </xf>
    <xf numFmtId="0" fontId="22" fillId="2" borderId="309" xfId="0" applyFont="1" applyFill="1" applyBorder="1" applyAlignment="1">
      <alignment horizontal="center" vertical="center" wrapText="1"/>
    </xf>
    <xf numFmtId="0" fontId="22" fillId="2" borderId="310" xfId="0" applyFont="1" applyFill="1" applyBorder="1" applyAlignment="1">
      <alignment horizontal="center" vertical="center" wrapText="1"/>
    </xf>
    <xf numFmtId="165" fontId="22" fillId="25" borderId="311" xfId="0" applyNumberFormat="1" applyFont="1" applyFill="1" applyBorder="1" applyAlignment="1">
      <alignment horizontal="right" vertical="center" indent="1"/>
    </xf>
    <xf numFmtId="165" fontId="22" fillId="25" borderId="312" xfId="0" applyNumberFormat="1" applyFont="1" applyFill="1" applyBorder="1" applyAlignment="1">
      <alignment horizontal="right" vertical="center" indent="1"/>
    </xf>
    <xf numFmtId="165" fontId="22" fillId="25" borderId="313" xfId="0" applyNumberFormat="1" applyFont="1" applyFill="1" applyBorder="1" applyAlignment="1">
      <alignment horizontal="right" vertical="center" indent="1"/>
    </xf>
    <xf numFmtId="0" fontId="22" fillId="2" borderId="314" xfId="0" applyFont="1" applyFill="1" applyBorder="1" applyAlignment="1">
      <alignment horizontal="center" vertical="center" wrapText="1"/>
    </xf>
    <xf numFmtId="0" fontId="127" fillId="0" borderId="315" xfId="0" applyFont="1" applyBorder="1" applyAlignment="1">
      <alignment horizontal="center" vertical="center" wrapText="1"/>
    </xf>
    <xf numFmtId="165" fontId="8" fillId="0" borderId="316" xfId="0" applyNumberFormat="1" applyFont="1" applyBorder="1" applyAlignment="1">
      <alignment horizontal="right" vertical="center" indent="1"/>
    </xf>
    <xf numFmtId="165" fontId="8" fillId="0" borderId="317" xfId="0" applyNumberFormat="1" applyFont="1" applyBorder="1" applyAlignment="1">
      <alignment horizontal="right" vertical="center" indent="1"/>
    </xf>
    <xf numFmtId="0" fontId="22" fillId="25" borderId="3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319" xfId="0" applyFont="1" applyFill="1" applyBorder="1" applyAlignment="1">
      <alignment horizontal="center" vertical="center" wrapText="1"/>
    </xf>
    <xf numFmtId="0" fontId="4" fillId="0" borderId="320" xfId="0" applyFont="1" applyBorder="1" applyAlignment="1">
      <alignment horizontal="center" vertical="center"/>
    </xf>
    <xf numFmtId="0" fontId="4" fillId="5" borderId="259" xfId="0" applyFont="1" applyFill="1" applyBorder="1" applyAlignment="1">
      <alignment horizontal="center" vertical="center"/>
    </xf>
    <xf numFmtId="165" fontId="5" fillId="0" borderId="320" xfId="0" applyNumberFormat="1" applyFont="1" applyBorder="1" applyAlignment="1">
      <alignment horizontal="right" vertical="center" indent="2"/>
    </xf>
    <xf numFmtId="165" fontId="5" fillId="5" borderId="252" xfId="0" applyNumberFormat="1" applyFont="1" applyFill="1" applyBorder="1" applyAlignment="1">
      <alignment horizontal="right" vertical="center" indent="2"/>
    </xf>
    <xf numFmtId="165" fontId="5" fillId="5" borderId="321" xfId="0" applyNumberFormat="1" applyFont="1" applyFill="1" applyBorder="1" applyAlignment="1">
      <alignment horizontal="right" vertical="center" indent="2"/>
    </xf>
    <xf numFmtId="0" fontId="19" fillId="2" borderId="326" xfId="0" applyFont="1" applyFill="1" applyBorder="1" applyAlignment="1">
      <alignment horizontal="center" vertical="center" wrapText="1"/>
    </xf>
    <xf numFmtId="0" fontId="128" fillId="2" borderId="326" xfId="0" applyFont="1" applyFill="1" applyBorder="1" applyAlignment="1">
      <alignment horizontal="center" vertical="center" wrapText="1"/>
    </xf>
    <xf numFmtId="0" fontId="128" fillId="2" borderId="261" xfId="0" applyFont="1" applyFill="1" applyBorder="1" applyAlignment="1">
      <alignment horizontal="center" vertical="center" wrapText="1"/>
    </xf>
    <xf numFmtId="0" fontId="128" fillId="2" borderId="309" xfId="0" applyFont="1" applyFill="1" applyBorder="1" applyAlignment="1">
      <alignment horizontal="center" vertical="center" wrapText="1"/>
    </xf>
    <xf numFmtId="0" fontId="128" fillId="2" borderId="310" xfId="0" applyFont="1" applyFill="1" applyBorder="1" applyAlignment="1">
      <alignment horizontal="center" vertical="center" wrapText="1"/>
    </xf>
    <xf numFmtId="0" fontId="128" fillId="2" borderId="314" xfId="0" applyFont="1" applyFill="1" applyBorder="1" applyAlignment="1">
      <alignment horizontal="center" vertical="center" wrapText="1"/>
    </xf>
    <xf numFmtId="165" fontId="4" fillId="5" borderId="321" xfId="0" applyNumberFormat="1" applyFont="1" applyFill="1" applyBorder="1" applyAlignment="1">
      <alignment horizontal="right" vertical="center" indent="2"/>
    </xf>
    <xf numFmtId="0" fontId="129" fillId="0" borderId="327" xfId="0" applyFont="1" applyBorder="1" applyAlignment="1">
      <alignment horizontal="right" vertical="center" indent="2"/>
    </xf>
    <xf numFmtId="0" fontId="129" fillId="0" borderId="328" xfId="0" applyFont="1" applyBorder="1" applyAlignment="1">
      <alignment horizontal="right" vertical="center" indent="2"/>
    </xf>
    <xf numFmtId="0" fontId="129" fillId="5" borderId="329" xfId="0" applyFont="1" applyFill="1" applyBorder="1" applyAlignment="1">
      <alignment horizontal="right" vertical="center" indent="2"/>
    </xf>
    <xf numFmtId="0" fontId="129" fillId="5" borderId="261" xfId="0" applyFont="1" applyFill="1" applyBorder="1" applyAlignment="1">
      <alignment horizontal="right" vertical="center" indent="2"/>
    </xf>
    <xf numFmtId="0" fontId="129" fillId="5" borderId="260" xfId="0" applyFont="1" applyFill="1" applyBorder="1" applyAlignment="1">
      <alignment horizontal="right" vertical="center" indent="2"/>
    </xf>
    <xf numFmtId="0" fontId="129" fillId="5" borderId="330" xfId="0" applyFont="1" applyFill="1" applyBorder="1" applyAlignment="1">
      <alignment horizontal="right" vertical="center" indent="2"/>
    </xf>
    <xf numFmtId="0" fontId="130" fillId="5" borderId="261" xfId="0" applyFont="1" applyFill="1" applyBorder="1" applyAlignment="1">
      <alignment horizontal="right" vertical="center" indent="2"/>
    </xf>
    <xf numFmtId="0" fontId="130" fillId="5" borderId="330" xfId="0" applyFont="1" applyFill="1" applyBorder="1" applyAlignment="1">
      <alignment horizontal="right" vertical="center" indent="2"/>
    </xf>
    <xf numFmtId="0" fontId="5" fillId="0" borderId="257" xfId="0" applyFont="1" applyBorder="1" applyAlignment="1">
      <alignment horizontal="left" vertical="center" indent="1"/>
    </xf>
    <xf numFmtId="0" fontId="5" fillId="5" borderId="318" xfId="0" applyFont="1" applyFill="1" applyBorder="1" applyAlignment="1">
      <alignment horizontal="left" vertical="center" indent="1"/>
    </xf>
    <xf numFmtId="0" fontId="5" fillId="0" borderId="333" xfId="0" applyFont="1" applyBorder="1" applyAlignment="1">
      <alignment horizontal="left" vertical="center" indent="1"/>
    </xf>
    <xf numFmtId="0" fontId="5" fillId="0" borderId="258" xfId="0" applyFont="1" applyBorder="1" applyAlignment="1">
      <alignment horizontal="right" vertical="center" indent="2"/>
    </xf>
    <xf numFmtId="0" fontId="5" fillId="5" borderId="332" xfId="0" applyFont="1" applyFill="1" applyBorder="1" applyAlignment="1">
      <alignment horizontal="right" vertical="center" indent="2"/>
    </xf>
    <xf numFmtId="0" fontId="5" fillId="0" borderId="334" xfId="0" applyFont="1" applyBorder="1" applyAlignment="1">
      <alignment horizontal="right" vertical="center" indent="2"/>
    </xf>
    <xf numFmtId="0" fontId="5" fillId="0" borderId="305" xfId="0" applyFont="1" applyBorder="1" applyAlignment="1">
      <alignment horizontal="left" vertical="center" indent="1"/>
    </xf>
    <xf numFmtId="0" fontId="5" fillId="0" borderId="336" xfId="0" applyFont="1" applyBorder="1" applyAlignment="1">
      <alignment horizontal="left" vertical="center" indent="1"/>
    </xf>
    <xf numFmtId="0" fontId="5" fillId="0" borderId="335" xfId="0" applyFont="1" applyBorder="1" applyAlignment="1">
      <alignment horizontal="right" vertical="center" indent="2"/>
    </xf>
    <xf numFmtId="0" fontId="5" fillId="0" borderId="337" xfId="0" applyFont="1" applyBorder="1" applyAlignment="1">
      <alignment horizontal="right" vertical="center" indent="2"/>
    </xf>
    <xf numFmtId="0" fontId="5" fillId="0" borderId="0" xfId="0" applyFont="1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 indent="1"/>
    </xf>
    <xf numFmtId="0" fontId="19" fillId="6" borderId="0" xfId="0" applyFont="1" applyFill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19" fillId="6" borderId="2" xfId="0" applyFont="1" applyFill="1" applyBorder="1" applyAlignment="1">
      <alignment horizontal="right" vertical="center" indent="1"/>
    </xf>
    <xf numFmtId="0" fontId="19" fillId="6" borderId="3" xfId="0" applyFont="1" applyFill="1" applyBorder="1" applyAlignment="1">
      <alignment horizontal="right" vertical="center" indent="1"/>
    </xf>
    <xf numFmtId="0" fontId="19" fillId="6" borderId="4" xfId="0" applyFont="1" applyFill="1" applyBorder="1" applyAlignment="1">
      <alignment horizontal="right" vertical="center" indent="1"/>
    </xf>
    <xf numFmtId="0" fontId="5" fillId="0" borderId="0" xfId="0" applyFont="1" applyAlignment="1">
      <alignment horizontal="right" vertical="center" indent="1"/>
    </xf>
    <xf numFmtId="167" fontId="4" fillId="5" borderId="0" xfId="0" applyNumberFormat="1" applyFont="1" applyFill="1" applyAlignment="1">
      <alignment horizontal="right" vertical="center" indent="1"/>
    </xf>
    <xf numFmtId="167" fontId="4" fillId="0" borderId="0" xfId="0" applyNumberFormat="1" applyFont="1" applyAlignment="1">
      <alignment horizontal="right" vertical="center" indent="1"/>
    </xf>
    <xf numFmtId="167" fontId="4" fillId="5" borderId="2" xfId="0" applyNumberFormat="1" applyFont="1" applyFill="1" applyBorder="1" applyAlignment="1">
      <alignment horizontal="right" vertical="center" indent="1"/>
    </xf>
    <xf numFmtId="167" fontId="4" fillId="5" borderId="3" xfId="0" applyNumberFormat="1" applyFont="1" applyFill="1" applyBorder="1" applyAlignment="1">
      <alignment horizontal="right" vertical="center" indent="1"/>
    </xf>
    <xf numFmtId="167" fontId="4" fillId="5" borderId="4" xfId="0" applyNumberFormat="1" applyFont="1" applyFill="1" applyBorder="1" applyAlignment="1">
      <alignment horizontal="right" vertical="center" indent="1"/>
    </xf>
    <xf numFmtId="167" fontId="5" fillId="0" borderId="0" xfId="0" applyNumberFormat="1" applyFont="1" applyAlignment="1">
      <alignment horizontal="right" vertical="center" indent="1"/>
    </xf>
    <xf numFmtId="0" fontId="5" fillId="0" borderId="11" xfId="0" applyFont="1" applyBorder="1" applyAlignment="1">
      <alignment horizontal="left" vertical="center" indent="2"/>
    </xf>
    <xf numFmtId="0" fontId="5" fillId="0" borderId="136" xfId="0" applyFont="1" applyBorder="1" applyAlignment="1">
      <alignment horizontal="left" vertical="center" indent="2"/>
    </xf>
    <xf numFmtId="167" fontId="5" fillId="0" borderId="11" xfId="0" applyNumberFormat="1" applyFont="1" applyBorder="1" applyAlignment="1">
      <alignment horizontal="right" vertical="center" indent="1"/>
    </xf>
    <xf numFmtId="167" fontId="5" fillId="0" borderId="136" xfId="0" applyNumberFormat="1" applyFont="1" applyBorder="1" applyAlignment="1">
      <alignment horizontal="right" vertical="center" indent="1"/>
    </xf>
    <xf numFmtId="167" fontId="5" fillId="0" borderId="338" xfId="0" applyNumberFormat="1" applyFont="1" applyBorder="1" applyAlignment="1">
      <alignment horizontal="right" vertical="center" indent="1"/>
    </xf>
    <xf numFmtId="167" fontId="5" fillId="0" borderId="339" xfId="0" applyNumberFormat="1" applyFont="1" applyBorder="1" applyAlignment="1">
      <alignment horizontal="right" vertical="center" indent="1"/>
    </xf>
    <xf numFmtId="167" fontId="5" fillId="0" borderId="340" xfId="0" applyNumberFormat="1" applyFont="1" applyBorder="1" applyAlignment="1">
      <alignment horizontal="right" vertical="center" indent="1"/>
    </xf>
    <xf numFmtId="167" fontId="5" fillId="0" borderId="341" xfId="0" applyNumberFormat="1" applyFont="1" applyBorder="1" applyAlignment="1">
      <alignment horizontal="right" vertical="center" indent="1"/>
    </xf>
    <xf numFmtId="167" fontId="5" fillId="0" borderId="342" xfId="0" applyNumberFormat="1" applyFont="1" applyBorder="1" applyAlignment="1">
      <alignment horizontal="right" vertical="center" indent="1"/>
    </xf>
    <xf numFmtId="167" fontId="5" fillId="0" borderId="343" xfId="0" applyNumberFormat="1" applyFont="1" applyBorder="1" applyAlignment="1">
      <alignment horizontal="right" vertical="center" indent="1"/>
    </xf>
    <xf numFmtId="0" fontId="19" fillId="6" borderId="0" xfId="0" applyFont="1" applyFill="1" applyAlignment="1">
      <alignment horizontal="left" vertical="center" indent="1"/>
    </xf>
    <xf numFmtId="168" fontId="37" fillId="5" borderId="3" xfId="0" applyNumberFormat="1" applyFont="1" applyFill="1" applyBorder="1" applyAlignment="1">
      <alignment horizontal="right" vertical="center" wrapText="1" indent="3"/>
    </xf>
    <xf numFmtId="168" fontId="10" fillId="5" borderId="3" xfId="0" applyNumberFormat="1" applyFont="1" applyFill="1" applyBorder="1" applyAlignment="1">
      <alignment horizontal="right" vertical="center" indent="3"/>
    </xf>
    <xf numFmtId="168" fontId="37" fillId="19" borderId="344" xfId="0" applyNumberFormat="1" applyFont="1" applyFill="1" applyBorder="1" applyAlignment="1">
      <alignment horizontal="right" vertical="center" wrapText="1" indent="3"/>
    </xf>
    <xf numFmtId="0" fontId="1" fillId="11" borderId="0" xfId="0" applyFont="1" applyFill="1" applyAlignment="1"/>
    <xf numFmtId="0" fontId="0" fillId="0" borderId="0" xfId="0" applyAlignment="1"/>
    <xf numFmtId="164" fontId="11" fillId="5" borderId="9" xfId="0" applyNumberFormat="1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10" fontId="11" fillId="5" borderId="9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0" fontId="11" fillId="5" borderId="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0" fillId="25" borderId="9" xfId="0" applyFont="1" applyFill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/>
    </xf>
    <xf numFmtId="0" fontId="0" fillId="0" borderId="5" xfId="0" applyBorder="1" applyAlignment="1"/>
    <xf numFmtId="0" fontId="40" fillId="2" borderId="49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0" fontId="40" fillId="25" borderId="9" xfId="0" applyFont="1" applyFill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0" fontId="5" fillId="0" borderId="6" xfId="0" applyFont="1" applyBorder="1" applyAlignment="1"/>
    <xf numFmtId="0" fontId="19" fillId="6" borderId="4" xfId="0" applyFont="1" applyFill="1" applyBorder="1" applyAlignment="1">
      <alignment horizontal="center" vertical="center"/>
    </xf>
    <xf numFmtId="0" fontId="5" fillId="0" borderId="7" xfId="0" applyFont="1" applyBorder="1" applyAlignment="1"/>
    <xf numFmtId="0" fontId="19" fillId="25" borderId="9" xfId="0" applyFont="1" applyFill="1" applyBorder="1" applyAlignment="1">
      <alignment horizontal="center" vertical="center"/>
    </xf>
    <xf numFmtId="0" fontId="5" fillId="25" borderId="6" xfId="0" applyFont="1" applyFill="1" applyBorder="1" applyAlignment="1"/>
    <xf numFmtId="4" fontId="79" fillId="23" borderId="37" xfId="0" applyNumberFormat="1" applyFont="1" applyFill="1" applyBorder="1" applyAlignment="1">
      <alignment horizontal="right" vertical="center" indent="2"/>
    </xf>
    <xf numFmtId="0" fontId="10" fillId="23" borderId="132" xfId="0" applyFont="1" applyFill="1" applyBorder="1" applyAlignment="1">
      <alignment horizontal="right" vertical="center" indent="2"/>
    </xf>
    <xf numFmtId="4" fontId="79" fillId="3" borderId="37" xfId="0" applyNumberFormat="1" applyFont="1" applyFill="1" applyBorder="1" applyAlignment="1">
      <alignment horizontal="right" vertical="center" indent="2"/>
    </xf>
    <xf numFmtId="0" fontId="10" fillId="3" borderId="37" xfId="0" applyFont="1" applyFill="1" applyBorder="1" applyAlignment="1">
      <alignment horizontal="right" vertical="center" indent="2"/>
    </xf>
    <xf numFmtId="0" fontId="10" fillId="3" borderId="132" xfId="0" applyFont="1" applyFill="1" applyBorder="1" applyAlignment="1">
      <alignment horizontal="right" vertical="center" indent="2"/>
    </xf>
    <xf numFmtId="0" fontId="10" fillId="23" borderId="37" xfId="0" applyFont="1" applyFill="1" applyBorder="1" applyAlignment="1">
      <alignment horizontal="right" vertical="center" indent="2"/>
    </xf>
    <xf numFmtId="4" fontId="79" fillId="3" borderId="6" xfId="0" applyNumberFormat="1" applyFont="1" applyFill="1" applyBorder="1" applyAlignment="1">
      <alignment horizontal="right" vertical="center" indent="2"/>
    </xf>
    <xf numFmtId="0" fontId="10" fillId="3" borderId="6" xfId="0" applyFont="1" applyFill="1" applyBorder="1" applyAlignment="1">
      <alignment horizontal="right" vertical="center" indent="2"/>
    </xf>
    <xf numFmtId="0" fontId="10" fillId="3" borderId="131" xfId="0" applyFont="1" applyFill="1" applyBorder="1" applyAlignment="1">
      <alignment horizontal="right" vertical="center" indent="2"/>
    </xf>
    <xf numFmtId="0" fontId="22" fillId="6" borderId="0" xfId="0" applyFont="1" applyFill="1" applyAlignment="1">
      <alignment horizontal="center" vertical="center"/>
    </xf>
    <xf numFmtId="4" fontId="79" fillId="23" borderId="6" xfId="0" applyNumberFormat="1" applyFont="1" applyFill="1" applyBorder="1" applyAlignment="1">
      <alignment horizontal="right" vertical="center" indent="2"/>
    </xf>
    <xf numFmtId="0" fontId="10" fillId="23" borderId="6" xfId="0" applyFont="1" applyFill="1" applyBorder="1" applyAlignment="1">
      <alignment horizontal="right" vertical="center" indent="2"/>
    </xf>
    <xf numFmtId="4" fontId="79" fillId="23" borderId="129" xfId="0" applyNumberFormat="1" applyFont="1" applyFill="1" applyBorder="1" applyAlignment="1">
      <alignment horizontal="right" vertical="center" indent="2"/>
    </xf>
    <xf numFmtId="0" fontId="10" fillId="23" borderId="129" xfId="0" applyFont="1" applyFill="1" applyBorder="1" applyAlignment="1">
      <alignment horizontal="right" vertical="center" indent="2"/>
    </xf>
    <xf numFmtId="4" fontId="79" fillId="23" borderId="9" xfId="0" applyNumberFormat="1" applyFont="1" applyFill="1" applyBorder="1" applyAlignment="1">
      <alignment horizontal="right" vertical="center" indent="2"/>
    </xf>
    <xf numFmtId="4" fontId="79" fillId="23" borderId="133" xfId="0" applyNumberFormat="1" applyFont="1" applyFill="1" applyBorder="1" applyAlignment="1">
      <alignment horizontal="right" vertical="center" indent="2"/>
    </xf>
    <xf numFmtId="2" fontId="10" fillId="0" borderId="0" xfId="0" applyNumberFormat="1" applyFont="1" applyBorder="1" applyAlignment="1">
      <alignment horizontal="right" vertical="center" indent="2"/>
    </xf>
    <xf numFmtId="4" fontId="79" fillId="23" borderId="132" xfId="0" applyNumberFormat="1" applyFont="1" applyFill="1" applyBorder="1" applyAlignment="1">
      <alignment horizontal="right" vertical="center" indent="2"/>
    </xf>
    <xf numFmtId="4" fontId="79" fillId="3" borderId="132" xfId="0" applyNumberFormat="1" applyFont="1" applyFill="1" applyBorder="1" applyAlignment="1">
      <alignment horizontal="right" vertical="center" indent="2"/>
    </xf>
    <xf numFmtId="4" fontId="79" fillId="23" borderId="130" xfId="0" applyNumberFormat="1" applyFont="1" applyFill="1" applyBorder="1" applyAlignment="1">
      <alignment horizontal="right" vertical="center" indent="2"/>
    </xf>
    <xf numFmtId="4" fontId="79" fillId="3" borderId="131" xfId="0" applyNumberFormat="1" applyFont="1" applyFill="1" applyBorder="1" applyAlignment="1">
      <alignment horizontal="right" vertical="center" indent="2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indent="1"/>
    </xf>
    <xf numFmtId="0" fontId="27" fillId="0" borderId="0" xfId="0" applyFont="1" applyAlignment="1">
      <alignment horizontal="left" vertical="center" indent="1"/>
    </xf>
    <xf numFmtId="0" fontId="19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/>
    <xf numFmtId="0" fontId="19" fillId="2" borderId="0" xfId="0" applyFont="1" applyFill="1" applyBorder="1" applyAlignment="1">
      <alignment horizontal="center"/>
    </xf>
    <xf numFmtId="0" fontId="21" fillId="0" borderId="12" xfId="0" applyFont="1" applyBorder="1" applyAlignment="1">
      <alignment horizontal="center" vertical="center"/>
    </xf>
    <xf numFmtId="0" fontId="22" fillId="2" borderId="14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4" fillId="5" borderId="21" xfId="0" applyFont="1" applyFill="1" applyBorder="1" applyAlignment="1">
      <alignment horizontal="center" vertical="center"/>
    </xf>
    <xf numFmtId="0" fontId="4" fillId="5" borderId="7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12" borderId="0" xfId="0" applyFont="1" applyFill="1" applyAlignment="1"/>
    <xf numFmtId="0" fontId="9" fillId="19" borderId="158" xfId="7" applyFont="1" applyFill="1" applyBorder="1" applyAlignment="1">
      <alignment horizontal="center" vertical="center"/>
    </xf>
    <xf numFmtId="0" fontId="2" fillId="0" borderId="158" xfId="0" applyFont="1" applyBorder="1" applyAlignment="1">
      <alignment horizontal="center" vertical="center"/>
    </xf>
    <xf numFmtId="0" fontId="9" fillId="19" borderId="140" xfId="7" applyFont="1" applyFill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8" fillId="0" borderId="161" xfId="0" applyFont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 wrapText="1"/>
    </xf>
    <xf numFmtId="1" fontId="22" fillId="2" borderId="146" xfId="7" applyNumberFormat="1" applyFont="1" applyFill="1" applyBorder="1" applyAlignment="1" applyProtection="1">
      <alignment horizontal="center" vertical="center"/>
    </xf>
    <xf numFmtId="1" fontId="22" fillId="2" borderId="148" xfId="7" applyNumberFormat="1" applyFont="1" applyFill="1" applyBorder="1" applyAlignment="1" applyProtection="1">
      <alignment horizontal="center" vertical="center"/>
    </xf>
    <xf numFmtId="0" fontId="56" fillId="2" borderId="151" xfId="4" applyFont="1" applyFill="1" applyBorder="1" applyAlignment="1">
      <alignment horizontal="center" vertical="center"/>
    </xf>
    <xf numFmtId="0" fontId="22" fillId="2" borderId="144" xfId="7" applyFont="1" applyFill="1" applyBorder="1" applyAlignment="1">
      <alignment horizontal="center" vertical="center" wrapText="1"/>
    </xf>
    <xf numFmtId="0" fontId="22" fillId="2" borderId="147" xfId="7" applyFont="1" applyFill="1" applyBorder="1" applyAlignment="1">
      <alignment horizontal="center" vertical="center" wrapText="1"/>
    </xf>
    <xf numFmtId="0" fontId="22" fillId="2" borderId="149" xfId="7" applyFont="1" applyFill="1" applyBorder="1" applyAlignment="1">
      <alignment horizontal="center" vertical="center" wrapText="1"/>
    </xf>
    <xf numFmtId="0" fontId="22" fillId="2" borderId="145" xfId="7" applyFont="1" applyFill="1" applyBorder="1" applyAlignment="1">
      <alignment horizontal="center" vertical="center"/>
    </xf>
    <xf numFmtId="0" fontId="22" fillId="2" borderId="143" xfId="7" applyFont="1" applyFill="1" applyBorder="1" applyAlignment="1">
      <alignment horizontal="center" vertical="center"/>
    </xf>
    <xf numFmtId="0" fontId="22" fillId="2" borderId="150" xfId="7" applyFont="1" applyFill="1" applyBorder="1" applyAlignment="1">
      <alignment horizontal="center" vertical="center"/>
    </xf>
    <xf numFmtId="0" fontId="9" fillId="20" borderId="0" xfId="7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20" borderId="0" xfId="7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56" fillId="2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vertical="center"/>
    </xf>
    <xf numFmtId="0" fontId="22" fillId="2" borderId="168" xfId="0" applyFont="1" applyFill="1" applyBorder="1" applyAlignment="1">
      <alignment horizontal="center" vertical="center" wrapText="1"/>
    </xf>
    <xf numFmtId="0" fontId="22" fillId="2" borderId="169" xfId="0" applyFont="1" applyFill="1" applyBorder="1" applyAlignment="1">
      <alignment horizontal="center" vertical="center" wrapText="1"/>
    </xf>
    <xf numFmtId="0" fontId="56" fillId="2" borderId="16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justify"/>
    </xf>
    <xf numFmtId="0" fontId="5" fillId="0" borderId="0" xfId="0" applyFont="1" applyAlignment="1"/>
    <xf numFmtId="0" fontId="19" fillId="22" borderId="5" xfId="0" applyFont="1" applyFill="1" applyBorder="1" applyAlignment="1">
      <alignment horizontal="center" vertical="center"/>
    </xf>
    <xf numFmtId="0" fontId="19" fillId="22" borderId="6" xfId="0" applyFont="1" applyFill="1" applyBorder="1" applyAlignment="1">
      <alignment horizontal="center" vertical="center"/>
    </xf>
    <xf numFmtId="0" fontId="19" fillId="22" borderId="7" xfId="0" applyFont="1" applyFill="1" applyBorder="1" applyAlignment="1">
      <alignment horizontal="center" vertical="center"/>
    </xf>
    <xf numFmtId="0" fontId="93" fillId="22" borderId="0" xfId="4" applyFont="1" applyFill="1" applyBorder="1" applyAlignment="1">
      <alignment horizontal="center" vertical="center" wrapText="1"/>
    </xf>
    <xf numFmtId="0" fontId="5" fillId="22" borderId="0" xfId="0" applyFont="1" applyFill="1" applyAlignment="1">
      <alignment wrapText="1"/>
    </xf>
    <xf numFmtId="0" fontId="93" fillId="25" borderId="57" xfId="11" applyFont="1" applyFill="1" applyBorder="1" applyAlignment="1">
      <alignment horizontal="center" vertical="center"/>
    </xf>
    <xf numFmtId="0" fontId="5" fillId="25" borderId="0" xfId="0" applyFont="1" applyFill="1" applyBorder="1" applyAlignment="1">
      <alignment horizontal="center" vertical="center"/>
    </xf>
    <xf numFmtId="0" fontId="93" fillId="25" borderId="170" xfId="4" applyFont="1" applyFill="1" applyBorder="1" applyAlignment="1">
      <alignment horizontal="center" vertical="center" wrapText="1"/>
    </xf>
    <xf numFmtId="0" fontId="39" fillId="25" borderId="23" xfId="4" applyFont="1" applyFill="1" applyBorder="1" applyAlignment="1">
      <alignment horizontal="center" vertical="center"/>
    </xf>
    <xf numFmtId="0" fontId="93" fillId="25" borderId="171" xfId="4" applyFont="1" applyFill="1" applyBorder="1" applyAlignment="1">
      <alignment horizontal="center" vertical="center" wrapText="1"/>
    </xf>
    <xf numFmtId="0" fontId="39" fillId="25" borderId="169" xfId="4" applyFont="1" applyFill="1" applyBorder="1" applyAlignment="1">
      <alignment horizontal="center" vertical="center"/>
    </xf>
    <xf numFmtId="0" fontId="93" fillId="25" borderId="172" xfId="2" applyFont="1" applyFill="1" applyBorder="1" applyAlignment="1">
      <alignment horizontal="center" vertical="center" wrapText="1"/>
    </xf>
    <xf numFmtId="0" fontId="39" fillId="25" borderId="22" xfId="4" applyFont="1" applyFill="1" applyBorder="1" applyAlignment="1">
      <alignment horizontal="center" vertical="center"/>
    </xf>
    <xf numFmtId="0" fontId="93" fillId="25" borderId="170" xfId="11" applyFont="1" applyFill="1" applyBorder="1" applyAlignment="1">
      <alignment horizontal="center" vertical="center" wrapText="1"/>
    </xf>
    <xf numFmtId="0" fontId="39" fillId="25" borderId="23" xfId="11" applyFont="1" applyFill="1" applyBorder="1" applyAlignment="1">
      <alignment horizontal="center" vertical="center"/>
    </xf>
    <xf numFmtId="0" fontId="93" fillId="25" borderId="171" xfId="11" applyFont="1" applyFill="1" applyBorder="1" applyAlignment="1">
      <alignment horizontal="center" vertical="center" wrapText="1"/>
    </xf>
    <xf numFmtId="0" fontId="39" fillId="25" borderId="169" xfId="11" applyFont="1" applyFill="1" applyBorder="1" applyAlignment="1">
      <alignment horizontal="center" vertical="center"/>
    </xf>
    <xf numFmtId="0" fontId="1" fillId="13" borderId="0" xfId="0" applyFont="1" applyFill="1" applyAlignment="1"/>
    <xf numFmtId="0" fontId="33" fillId="2" borderId="174" xfId="0" applyFont="1" applyFill="1" applyBorder="1" applyAlignment="1">
      <alignment horizontal="center" vertical="center"/>
    </xf>
    <xf numFmtId="0" fontId="8" fillId="2" borderId="177" xfId="0" applyFont="1" applyFill="1" applyBorder="1" applyAlignment="1">
      <alignment horizontal="center" vertical="center"/>
    </xf>
    <xf numFmtId="0" fontId="33" fillId="2" borderId="175" xfId="2" applyFont="1" applyFill="1" applyBorder="1" applyAlignment="1">
      <alignment horizontal="center" vertical="center" wrapText="1"/>
    </xf>
    <xf numFmtId="0" fontId="33" fillId="2" borderId="178" xfId="2" applyFont="1" applyFill="1" applyBorder="1" applyAlignment="1">
      <alignment horizontal="center" vertical="center" wrapText="1"/>
    </xf>
    <xf numFmtId="0" fontId="33" fillId="2" borderId="176" xfId="2" applyFont="1" applyFill="1" applyBorder="1" applyAlignment="1">
      <alignment horizontal="center" vertical="center" wrapText="1"/>
    </xf>
    <xf numFmtId="0" fontId="33" fillId="2" borderId="129" xfId="2" applyFont="1" applyFill="1" applyBorder="1" applyAlignment="1">
      <alignment horizontal="center" vertical="center" wrapText="1"/>
    </xf>
    <xf numFmtId="0" fontId="33" fillId="2" borderId="174" xfId="2" applyFont="1" applyFill="1" applyBorder="1" applyAlignment="1">
      <alignment horizontal="center" vertical="center" wrapText="1"/>
    </xf>
    <xf numFmtId="0" fontId="33" fillId="2" borderId="177" xfId="2" applyFont="1" applyFill="1" applyBorder="1" applyAlignment="1">
      <alignment horizontal="center" vertical="center" wrapText="1"/>
    </xf>
    <xf numFmtId="0" fontId="33" fillId="2" borderId="177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33" fillId="2" borderId="168" xfId="2" applyFont="1" applyFill="1" applyBorder="1" applyAlignment="1">
      <alignment horizontal="center" vertical="center" wrapText="1"/>
    </xf>
    <xf numFmtId="0" fontId="8" fillId="2" borderId="179" xfId="0" applyFont="1" applyFill="1" applyBorder="1" applyAlignment="1">
      <alignment horizontal="center" vertical="center" wrapText="1"/>
    </xf>
    <xf numFmtId="0" fontId="33" fillId="2" borderId="173" xfId="2" applyFont="1" applyFill="1" applyBorder="1" applyAlignment="1">
      <alignment horizontal="center" vertical="center" wrapText="1"/>
    </xf>
    <xf numFmtId="0" fontId="33" fillId="2" borderId="173" xfId="0" applyFont="1" applyFill="1" applyBorder="1" applyAlignment="1">
      <alignment horizontal="center" vertical="center" wrapText="1"/>
    </xf>
    <xf numFmtId="0" fontId="95" fillId="2" borderId="192" xfId="0" applyFont="1" applyFill="1" applyBorder="1" applyAlignment="1">
      <alignment horizontal="center" vertical="center" wrapText="1"/>
    </xf>
    <xf numFmtId="0" fontId="95" fillId="2" borderId="194" xfId="0" applyFont="1" applyFill="1" applyBorder="1" applyAlignment="1">
      <alignment horizontal="center" vertical="center" wrapText="1"/>
    </xf>
    <xf numFmtId="0" fontId="95" fillId="2" borderId="193" xfId="0" applyFont="1" applyFill="1" applyBorder="1" applyAlignment="1">
      <alignment horizontal="center" vertical="center" wrapText="1"/>
    </xf>
    <xf numFmtId="0" fontId="95" fillId="2" borderId="195" xfId="0" applyFont="1" applyFill="1" applyBorder="1" applyAlignment="1">
      <alignment horizontal="center" vertical="center" wrapText="1"/>
    </xf>
    <xf numFmtId="0" fontId="33" fillId="2" borderId="175" xfId="0" applyFont="1" applyFill="1" applyBorder="1" applyAlignment="1">
      <alignment horizontal="center" vertical="center" wrapText="1"/>
    </xf>
    <xf numFmtId="0" fontId="33" fillId="2" borderId="22" xfId="0" applyFont="1" applyFill="1" applyBorder="1" applyAlignment="1">
      <alignment horizontal="center" vertical="center" wrapText="1"/>
    </xf>
    <xf numFmtId="0" fontId="33" fillId="2" borderId="168" xfId="0" applyFont="1" applyFill="1" applyBorder="1" applyAlignment="1">
      <alignment horizontal="center" vertical="center" wrapText="1"/>
    </xf>
    <xf numFmtId="0" fontId="33" fillId="2" borderId="169" xfId="0" applyFont="1" applyFill="1" applyBorder="1" applyAlignment="1">
      <alignment horizontal="center" vertical="center" wrapText="1"/>
    </xf>
    <xf numFmtId="0" fontId="33" fillId="2" borderId="178" xfId="0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/>
    </xf>
    <xf numFmtId="0" fontId="33" fillId="0" borderId="177" xfId="0" applyFont="1" applyFill="1" applyBorder="1" applyAlignment="1">
      <alignment horizontal="center" vertical="center"/>
    </xf>
    <xf numFmtId="0" fontId="33" fillId="2" borderId="179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70" xfId="0" applyFont="1" applyFill="1" applyBorder="1" applyAlignment="1">
      <alignment horizontal="center"/>
    </xf>
    <xf numFmtId="0" fontId="22" fillId="2" borderId="70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/>
    </xf>
    <xf numFmtId="0" fontId="33" fillId="2" borderId="168" xfId="0" applyFont="1" applyFill="1" applyBorder="1" applyAlignment="1">
      <alignment horizontal="center" vertical="center"/>
    </xf>
    <xf numFmtId="0" fontId="33" fillId="2" borderId="179" xfId="0" applyFont="1" applyFill="1" applyBorder="1" applyAlignment="1">
      <alignment horizontal="center" vertical="center"/>
    </xf>
    <xf numFmtId="0" fontId="9" fillId="5" borderId="57" xfId="0" applyFont="1" applyFill="1" applyBorder="1" applyAlignment="1">
      <alignment horizontal="left" indent="1"/>
    </xf>
    <xf numFmtId="0" fontId="9" fillId="5" borderId="8" xfId="0" applyFont="1" applyFill="1" applyBorder="1" applyAlignment="1">
      <alignment horizontal="left" indent="1"/>
    </xf>
    <xf numFmtId="0" fontId="9" fillId="18" borderId="214" xfId="0" applyFont="1" applyFill="1" applyBorder="1" applyAlignment="1">
      <alignment horizontal="center" vertical="center"/>
    </xf>
    <xf numFmtId="0" fontId="0" fillId="18" borderId="166" xfId="0" applyFill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18" borderId="196" xfId="0" applyFill="1" applyBorder="1" applyAlignment="1">
      <alignment horizontal="center" vertical="center"/>
    </xf>
    <xf numFmtId="0" fontId="22" fillId="6" borderId="212" xfId="0" applyFont="1" applyFill="1" applyBorder="1" applyAlignment="1">
      <alignment horizontal="left" vertical="center"/>
    </xf>
    <xf numFmtId="0" fontId="22" fillId="6" borderId="213" xfId="0" applyFont="1" applyFill="1" applyBorder="1" applyAlignment="1">
      <alignment horizontal="left" vertical="center"/>
    </xf>
    <xf numFmtId="0" fontId="22" fillId="6" borderId="186" xfId="0" applyFont="1" applyFill="1" applyBorder="1" applyAlignment="1">
      <alignment vertical="center"/>
    </xf>
    <xf numFmtId="0" fontId="22" fillId="6" borderId="205" xfId="0" applyFont="1" applyFill="1" applyBorder="1" applyAlignment="1">
      <alignment vertical="center"/>
    </xf>
    <xf numFmtId="0" fontId="22" fillId="6" borderId="207" xfId="0" applyFont="1" applyFill="1" applyBorder="1" applyAlignment="1">
      <alignment vertical="center"/>
    </xf>
    <xf numFmtId="49" fontId="33" fillId="2" borderId="168" xfId="0" applyNumberFormat="1" applyFont="1" applyFill="1" applyBorder="1" applyAlignment="1">
      <alignment horizontal="center" vertical="center"/>
    </xf>
    <xf numFmtId="0" fontId="10" fillId="2" borderId="179" xfId="0" applyFont="1" applyFill="1" applyBorder="1" applyAlignment="1">
      <alignment horizontal="center" vertical="center"/>
    </xf>
    <xf numFmtId="49" fontId="33" fillId="2" borderId="175" xfId="0" applyNumberFormat="1" applyFont="1" applyFill="1" applyBorder="1" applyAlignment="1">
      <alignment horizontal="center" vertical="center"/>
    </xf>
    <xf numFmtId="0" fontId="10" fillId="2" borderId="178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4" borderId="4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22" fillId="6" borderId="216" xfId="0" applyFont="1" applyFill="1" applyBorder="1" applyAlignment="1">
      <alignment horizontal="center" vertical="center"/>
    </xf>
    <xf numFmtId="0" fontId="66" fillId="6" borderId="219" xfId="0" applyFont="1" applyFill="1" applyBorder="1" applyAlignment="1">
      <alignment horizontal="center" vertical="center"/>
    </xf>
    <xf numFmtId="0" fontId="22" fillId="6" borderId="217" xfId="0" applyFont="1" applyFill="1" applyBorder="1" applyAlignment="1">
      <alignment horizontal="center" vertical="center"/>
    </xf>
    <xf numFmtId="0" fontId="22" fillId="6" borderId="218" xfId="0" applyFont="1" applyFill="1" applyBorder="1" applyAlignment="1">
      <alignment horizontal="center" vertical="center"/>
    </xf>
    <xf numFmtId="0" fontId="19" fillId="6" borderId="222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 vertical="center" wrapText="1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22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9" fillId="0" borderId="0" xfId="0" applyFont="1" applyAlignment="1"/>
    <xf numFmtId="0" fontId="22" fillId="2" borderId="21" xfId="0" applyFont="1" applyFill="1" applyBorder="1" applyAlignment="1">
      <alignment horizontal="center" vertical="center"/>
    </xf>
    <xf numFmtId="0" fontId="0" fillId="0" borderId="21" xfId="0" applyBorder="1" applyAlignment="1"/>
    <xf numFmtId="0" fontId="31" fillId="5" borderId="0" xfId="0" applyFont="1" applyFill="1" applyAlignment="1">
      <alignment horizontal="center" vertical="center" wrapText="1"/>
    </xf>
    <xf numFmtId="0" fontId="66" fillId="2" borderId="5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86" fillId="0" borderId="2" xfId="0" applyFont="1" applyBorder="1" applyAlignment="1"/>
    <xf numFmtId="0" fontId="56" fillId="2" borderId="4" xfId="0" applyFont="1" applyFill="1" applyBorder="1" applyAlignment="1">
      <alignment horizontal="center" vertical="center"/>
    </xf>
    <xf numFmtId="0" fontId="86" fillId="0" borderId="4" xfId="0" applyFont="1" applyBorder="1" applyAlignment="1"/>
    <xf numFmtId="0" fontId="99" fillId="0" borderId="0" xfId="4" applyFont="1" applyBorder="1" applyAlignment="1">
      <alignment horizontal="center" vertical="center" wrapText="1"/>
    </xf>
    <xf numFmtId="10" fontId="102" fillId="32" borderId="4" xfId="0" applyNumberFormat="1" applyFont="1" applyFill="1" applyBorder="1" applyAlignment="1">
      <alignment horizontal="center" vertical="center" wrapText="1"/>
    </xf>
    <xf numFmtId="0" fontId="102" fillId="32" borderId="4" xfId="0" applyFont="1" applyFill="1" applyBorder="1" applyAlignment="1">
      <alignment horizontal="center" vertical="center" wrapText="1"/>
    </xf>
    <xf numFmtId="0" fontId="1" fillId="9" borderId="0" xfId="0" applyFont="1" applyFill="1" applyAlignment="1"/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79" fontId="22" fillId="2" borderId="219" xfId="0" applyNumberFormat="1" applyFont="1" applyFill="1" applyBorder="1" applyAlignment="1">
      <alignment horizontal="center" vertical="center" wrapText="1"/>
    </xf>
    <xf numFmtId="179" fontId="22" fillId="2" borderId="232" xfId="0" applyNumberFormat="1" applyFont="1" applyFill="1" applyBorder="1" applyAlignment="1">
      <alignment horizontal="center" vertical="center" wrapText="1"/>
    </xf>
    <xf numFmtId="179" fontId="22" fillId="2" borderId="233" xfId="0" applyNumberFormat="1" applyFont="1" applyFill="1" applyBorder="1" applyAlignment="1">
      <alignment horizontal="center" vertical="center" wrapText="1"/>
    </xf>
    <xf numFmtId="0" fontId="22" fillId="2" borderId="252" xfId="0" applyFont="1" applyFill="1" applyBorder="1" applyAlignment="1">
      <alignment horizontal="center" vertical="center"/>
    </xf>
    <xf numFmtId="0" fontId="56" fillId="2" borderId="252" xfId="0" applyFont="1" applyFill="1" applyBorder="1" applyAlignment="1"/>
    <xf numFmtId="0" fontId="56" fillId="2" borderId="4" xfId="0" applyFont="1" applyFill="1" applyBorder="1" applyAlignment="1"/>
    <xf numFmtId="0" fontId="22" fillId="2" borderId="25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 wrapText="1" indent="2"/>
    </xf>
    <xf numFmtId="0" fontId="33" fillId="2" borderId="0" xfId="13" applyFont="1" applyFill="1" applyBorder="1" applyAlignment="1">
      <alignment horizontal="center" vertical="center"/>
    </xf>
    <xf numFmtId="0" fontId="33" fillId="2" borderId="23" xfId="13" applyFont="1" applyFill="1" applyBorder="1" applyAlignment="1">
      <alignment horizontal="center" vertical="center"/>
    </xf>
    <xf numFmtId="0" fontId="38" fillId="5" borderId="2" xfId="14" applyFont="1" applyFill="1" applyBorder="1" applyAlignment="1">
      <alignment horizontal="left" vertical="center"/>
    </xf>
    <xf numFmtId="0" fontId="38" fillId="5" borderId="3" xfId="14" applyFont="1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0" fontId="22" fillId="6" borderId="2" xfId="0" applyFont="1" applyFill="1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44" fontId="33" fillId="2" borderId="0" xfId="12" applyFont="1" applyFill="1" applyBorder="1" applyAlignment="1">
      <alignment horizontal="center" vertical="center"/>
    </xf>
    <xf numFmtId="44" fontId="33" fillId="2" borderId="2" xfId="12" applyFont="1" applyFill="1" applyBorder="1" applyAlignment="1">
      <alignment horizontal="center" vertical="center"/>
    </xf>
    <xf numFmtId="0" fontId="1" fillId="2" borderId="2" xfId="0" applyFont="1" applyFill="1" applyBorder="1" applyAlignment="1"/>
    <xf numFmtId="0" fontId="33" fillId="6" borderId="2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44" fontId="33" fillId="2" borderId="1" xfId="12" applyFont="1" applyFill="1" applyBorder="1" applyAlignment="1">
      <alignment horizontal="center" vertical="center"/>
    </xf>
    <xf numFmtId="44" fontId="33" fillId="2" borderId="5" xfId="12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/>
    <xf numFmtId="0" fontId="19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0" fillId="0" borderId="22" xfId="0" applyBorder="1" applyAlignment="1"/>
    <xf numFmtId="0" fontId="33" fillId="2" borderId="265" xfId="0" applyFont="1" applyFill="1" applyBorder="1" applyAlignment="1">
      <alignment horizontal="center" vertical="center"/>
    </xf>
    <xf numFmtId="0" fontId="0" fillId="0" borderId="266" xfId="0" applyBorder="1" applyAlignment="1">
      <alignment horizontal="center" vertical="center"/>
    </xf>
    <xf numFmtId="0" fontId="33" fillId="2" borderId="169" xfId="0" applyFont="1" applyFill="1" applyBorder="1" applyAlignment="1">
      <alignment horizontal="center" vertical="center"/>
    </xf>
    <xf numFmtId="0" fontId="0" fillId="0" borderId="169" xfId="0" applyBorder="1" applyAlignment="1"/>
    <xf numFmtId="0" fontId="19" fillId="6" borderId="0" xfId="0" applyFont="1" applyFill="1" applyAlignment="1">
      <alignment horizontal="center" vertical="center"/>
    </xf>
    <xf numFmtId="0" fontId="22" fillId="2" borderId="7" xfId="15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2" fillId="2" borderId="2" xfId="15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22" fillId="2" borderId="3" xfId="15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 indent="2"/>
    </xf>
    <xf numFmtId="0" fontId="0" fillId="0" borderId="0" xfId="0" applyAlignment="1">
      <alignment horizontal="left" vertical="center" wrapText="1" indent="2"/>
    </xf>
    <xf numFmtId="0" fontId="1" fillId="15" borderId="0" xfId="0" applyFont="1" applyFill="1" applyAlignment="1"/>
    <xf numFmtId="0" fontId="19" fillId="2" borderId="128" xfId="0" applyFont="1" applyFill="1" applyBorder="1" applyAlignment="1">
      <alignment horizontal="center" vertical="center"/>
    </xf>
    <xf numFmtId="0" fontId="33" fillId="6" borderId="168" xfId="0" applyFont="1" applyFill="1" applyBorder="1" applyAlignment="1">
      <alignment horizontal="center" vertical="center" wrapText="1"/>
    </xf>
    <xf numFmtId="0" fontId="8" fillId="6" borderId="179" xfId="0" applyFont="1" applyFill="1" applyBorder="1" applyAlignment="1">
      <alignment horizontal="center" vertical="center" wrapText="1"/>
    </xf>
    <xf numFmtId="0" fontId="33" fillId="6" borderId="268" xfId="0" applyFont="1" applyFill="1" applyBorder="1" applyAlignment="1">
      <alignment horizontal="center" vertical="center" wrapText="1"/>
    </xf>
    <xf numFmtId="0" fontId="8" fillId="6" borderId="270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0" borderId="165" xfId="0" applyFont="1" applyBorder="1" applyAlignment="1">
      <alignment horizontal="center" vertical="center"/>
    </xf>
    <xf numFmtId="0" fontId="109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33" fillId="2" borderId="273" xfId="2" applyFont="1" applyFill="1" applyBorder="1" applyAlignment="1">
      <alignment horizontal="center" vertical="center"/>
    </xf>
    <xf numFmtId="0" fontId="33" fillId="2" borderId="274" xfId="2" applyFont="1" applyFill="1" applyBorder="1" applyAlignment="1">
      <alignment horizontal="center" vertical="center"/>
    </xf>
    <xf numFmtId="0" fontId="0" fillId="0" borderId="177" xfId="0" applyBorder="1" applyAlignment="1"/>
    <xf numFmtId="0" fontId="22" fillId="2" borderId="278" xfId="0" applyFont="1" applyFill="1" applyBorder="1" applyAlignment="1">
      <alignment horizontal="center" vertical="center" wrapText="1"/>
    </xf>
    <xf numFmtId="0" fontId="0" fillId="0" borderId="279" xfId="0" applyBorder="1" applyAlignment="1">
      <alignment horizontal="center" vertical="center" wrapText="1"/>
    </xf>
    <xf numFmtId="0" fontId="22" fillId="2" borderId="277" xfId="0" applyFont="1" applyFill="1" applyBorder="1" applyAlignment="1">
      <alignment horizontal="center" vertical="center" wrapText="1"/>
    </xf>
    <xf numFmtId="0" fontId="0" fillId="0" borderId="277" xfId="0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3" fillId="2" borderId="23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33" fillId="2" borderId="177" xfId="0" applyFont="1" applyFill="1" applyBorder="1" applyAlignment="1">
      <alignment horizontal="center" vertical="center"/>
    </xf>
    <xf numFmtId="0" fontId="22" fillId="6" borderId="168" xfId="0" applyFont="1" applyFill="1" applyBorder="1" applyAlignment="1">
      <alignment horizontal="center" vertical="center"/>
    </xf>
    <xf numFmtId="0" fontId="56" fillId="6" borderId="169" xfId="0" applyFont="1" applyFill="1" applyBorder="1"/>
    <xf numFmtId="0" fontId="56" fillId="6" borderId="179" xfId="0" applyFont="1" applyFill="1" applyBorder="1"/>
    <xf numFmtId="0" fontId="19" fillId="2" borderId="23" xfId="0" applyFont="1" applyFill="1" applyBorder="1" applyAlignment="1">
      <alignment horizontal="center" vertical="center"/>
    </xf>
    <xf numFmtId="0" fontId="33" fillId="2" borderId="282" xfId="0" applyFont="1" applyFill="1" applyBorder="1" applyAlignment="1">
      <alignment horizontal="center" vertical="center"/>
    </xf>
    <xf numFmtId="0" fontId="33" fillId="2" borderId="274" xfId="0" applyFont="1" applyFill="1" applyBorder="1" applyAlignment="1">
      <alignment horizontal="center" vertical="center"/>
    </xf>
    <xf numFmtId="0" fontId="22" fillId="2" borderId="303" xfId="0" applyFont="1" applyFill="1" applyBorder="1" applyAlignment="1">
      <alignment horizontal="center" vertical="center" wrapText="1"/>
    </xf>
    <xf numFmtId="0" fontId="22" fillId="2" borderId="232" xfId="0" applyFont="1" applyFill="1" applyBorder="1" applyAlignment="1">
      <alignment horizontal="center" vertical="center" wrapText="1"/>
    </xf>
    <xf numFmtId="0" fontId="22" fillId="2" borderId="233" xfId="0" applyFont="1" applyFill="1" applyBorder="1" applyAlignment="1">
      <alignment horizontal="center" vertical="center" wrapText="1"/>
    </xf>
    <xf numFmtId="0" fontId="19" fillId="2" borderId="322" xfId="0" applyFont="1" applyFill="1" applyBorder="1" applyAlignment="1">
      <alignment horizontal="center" vertical="center"/>
    </xf>
    <xf numFmtId="0" fontId="19" fillId="2" borderId="323" xfId="0" applyFont="1" applyFill="1" applyBorder="1" applyAlignment="1">
      <alignment horizontal="center" vertical="center"/>
    </xf>
    <xf numFmtId="0" fontId="19" fillId="2" borderId="324" xfId="0" applyFont="1" applyFill="1" applyBorder="1" applyAlignment="1">
      <alignment horizontal="center" vertical="center"/>
    </xf>
    <xf numFmtId="0" fontId="19" fillId="2" borderId="325" xfId="0" applyFont="1" applyFill="1" applyBorder="1" applyAlignment="1">
      <alignment horizontal="center" vertical="center"/>
    </xf>
    <xf numFmtId="0" fontId="1" fillId="2" borderId="331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18" borderId="0" xfId="0" applyFont="1" applyFill="1" applyBorder="1" applyAlignment="1">
      <alignment horizontal="center" vertical="center" wrapText="1"/>
    </xf>
    <xf numFmtId="0" fontId="5" fillId="18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horizontal="right" wrapText="1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0" fontId="40" fillId="7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39" fillId="0" borderId="0" xfId="0" quotePrefix="1" applyFont="1" applyFill="1" applyBorder="1" applyAlignment="1">
      <alignment horizontal="left" vertical="center" wrapText="1"/>
    </xf>
    <xf numFmtId="0" fontId="47" fillId="7" borderId="4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0" fillId="7" borderId="46" xfId="0" applyFont="1" applyFill="1" applyBorder="1" applyAlignment="1">
      <alignment horizontal="center" vertical="center"/>
    </xf>
    <xf numFmtId="0" fontId="40" fillId="7" borderId="32" xfId="0" applyFont="1" applyFill="1" applyBorder="1" applyAlignment="1">
      <alignment horizontal="center" vertical="center"/>
    </xf>
    <xf numFmtId="0" fontId="40" fillId="7" borderId="33" xfId="0" applyFont="1" applyFill="1" applyBorder="1" applyAlignment="1">
      <alignment horizontal="center" vertical="center"/>
    </xf>
    <xf numFmtId="0" fontId="41" fillId="20" borderId="34" xfId="0" applyFont="1" applyFill="1" applyBorder="1" applyAlignment="1">
      <alignment horizontal="center" vertical="center"/>
    </xf>
    <xf numFmtId="0" fontId="41" fillId="20" borderId="35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  <xf numFmtId="0" fontId="1" fillId="14" borderId="0" xfId="0" applyFont="1" applyFill="1" applyAlignment="1"/>
    <xf numFmtId="0" fontId="75" fillId="0" borderId="83" xfId="0" applyFont="1" applyFill="1" applyBorder="1" applyAlignment="1">
      <alignment horizontal="center" vertical="center"/>
    </xf>
    <xf numFmtId="0" fontId="75" fillId="0" borderId="84" xfId="0" applyFont="1" applyFill="1" applyBorder="1" applyAlignment="1">
      <alignment horizontal="center" vertical="center"/>
    </xf>
    <xf numFmtId="0" fontId="75" fillId="0" borderId="85" xfId="0" applyFont="1" applyFill="1" applyBorder="1" applyAlignment="1">
      <alignment horizontal="center" vertical="center"/>
    </xf>
    <xf numFmtId="0" fontId="76" fillId="27" borderId="89" xfId="0" applyFont="1" applyFill="1" applyBorder="1" applyAlignment="1">
      <alignment horizontal="center" vertical="center"/>
    </xf>
    <xf numFmtId="0" fontId="76" fillId="27" borderId="92" xfId="0" applyFont="1" applyFill="1" applyBorder="1" applyAlignment="1">
      <alignment horizontal="center" vertical="center"/>
    </xf>
    <xf numFmtId="0" fontId="76" fillId="27" borderId="90" xfId="0" applyFont="1" applyFill="1" applyBorder="1" applyAlignment="1">
      <alignment horizontal="center"/>
    </xf>
    <xf numFmtId="0" fontId="76" fillId="27" borderId="87" xfId="0" applyFont="1" applyFill="1" applyBorder="1" applyAlignment="1">
      <alignment horizontal="center"/>
    </xf>
    <xf numFmtId="0" fontId="76" fillId="27" borderId="88" xfId="0" applyFont="1" applyFill="1" applyBorder="1" applyAlignment="1">
      <alignment horizontal="center"/>
    </xf>
    <xf numFmtId="0" fontId="76" fillId="27" borderId="90" xfId="0" applyFont="1" applyFill="1" applyBorder="1" applyAlignment="1">
      <alignment horizontal="center" vertical="center"/>
    </xf>
    <xf numFmtId="0" fontId="76" fillId="27" borderId="93" xfId="0" applyFont="1" applyFill="1" applyBorder="1" applyAlignment="1">
      <alignment horizontal="center" vertical="center"/>
    </xf>
    <xf numFmtId="0" fontId="76" fillId="27" borderId="90" xfId="0" applyFont="1" applyFill="1" applyBorder="1" applyAlignment="1">
      <alignment horizontal="center" wrapText="1"/>
    </xf>
    <xf numFmtId="0" fontId="76" fillId="27" borderId="90" xfId="0" applyFont="1" applyFill="1" applyBorder="1" applyAlignment="1">
      <alignment horizontal="center" vertical="center" wrapText="1"/>
    </xf>
    <xf numFmtId="0" fontId="76" fillId="27" borderId="93" xfId="0" applyFont="1" applyFill="1" applyBorder="1" applyAlignment="1">
      <alignment horizontal="center" vertical="center" wrapText="1"/>
    </xf>
    <xf numFmtId="0" fontId="76" fillId="27" borderId="91" xfId="0" applyFont="1" applyFill="1" applyBorder="1" applyAlignment="1">
      <alignment horizontal="center" vertical="center" wrapText="1"/>
    </xf>
    <xf numFmtId="0" fontId="76" fillId="27" borderId="94" xfId="0" applyFont="1" applyFill="1" applyBorder="1" applyAlignment="1">
      <alignment horizontal="center" vertical="center" wrapText="1"/>
    </xf>
    <xf numFmtId="0" fontId="1" fillId="17" borderId="0" xfId="0" applyFont="1" applyFill="1" applyAlignment="1"/>
    <xf numFmtId="0" fontId="76" fillId="27" borderId="91" xfId="0" applyFont="1" applyFill="1" applyBorder="1" applyAlignment="1">
      <alignment horizontal="center"/>
    </xf>
    <xf numFmtId="0" fontId="75" fillId="0" borderId="83" xfId="0" applyFont="1" applyBorder="1" applyAlignment="1">
      <alignment horizontal="center" vertical="center"/>
    </xf>
    <xf numFmtId="0" fontId="75" fillId="0" borderId="84" xfId="0" applyFont="1" applyBorder="1" applyAlignment="1">
      <alignment horizontal="center" vertical="center"/>
    </xf>
    <xf numFmtId="0" fontId="75" fillId="0" borderId="85" xfId="0" applyFont="1" applyBorder="1" applyAlignment="1">
      <alignment horizontal="center" vertical="center"/>
    </xf>
    <xf numFmtId="0" fontId="76" fillId="27" borderId="86" xfId="0" applyFont="1" applyFill="1" applyBorder="1" applyAlignment="1">
      <alignment horizontal="center" vertical="center"/>
    </xf>
    <xf numFmtId="2" fontId="22" fillId="2" borderId="3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2" fontId="22" fillId="2" borderId="6" xfId="0" applyNumberFormat="1" applyFont="1" applyFill="1" applyBorder="1" applyAlignment="1">
      <alignment horizontal="center" vertical="center" wrapText="1"/>
    </xf>
    <xf numFmtId="0" fontId="65" fillId="2" borderId="9" xfId="0" applyFont="1" applyFill="1" applyBorder="1" applyAlignment="1">
      <alignment horizontal="center" vertical="center" wrapText="1"/>
    </xf>
    <xf numFmtId="2" fontId="57" fillId="2" borderId="6" xfId="0" applyNumberFormat="1" applyFont="1" applyFill="1" applyBorder="1" applyAlignment="1">
      <alignment horizontal="center" vertical="center" wrapText="1"/>
    </xf>
    <xf numFmtId="0" fontId="66" fillId="2" borderId="9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wrapText="1"/>
    </xf>
    <xf numFmtId="0" fontId="56" fillId="2" borderId="0" xfId="0" applyFont="1" applyFill="1" applyAlignment="1">
      <alignment vertical="center"/>
    </xf>
    <xf numFmtId="0" fontId="9" fillId="18" borderId="70" xfId="0" applyFont="1" applyFill="1" applyBorder="1" applyAlignment="1">
      <alignment horizontal="center" vertical="center" wrapText="1"/>
    </xf>
    <xf numFmtId="0" fontId="0" fillId="18" borderId="70" xfId="0" applyFill="1" applyBorder="1" applyAlignment="1">
      <alignment horizontal="center" vertical="center" wrapText="1"/>
    </xf>
    <xf numFmtId="0" fontId="9" fillId="18" borderId="37" xfId="0" applyFont="1" applyFill="1" applyBorder="1" applyAlignment="1">
      <alignment horizontal="center" vertical="center" wrapText="1"/>
    </xf>
    <xf numFmtId="0" fontId="0" fillId="18" borderId="37" xfId="0" applyFill="1" applyBorder="1" applyAlignment="1">
      <alignment horizontal="center" vertical="center" wrapText="1"/>
    </xf>
    <xf numFmtId="0" fontId="9" fillId="18" borderId="49" xfId="0" applyFont="1" applyFill="1" applyBorder="1" applyAlignment="1">
      <alignment horizontal="center" vertical="center" wrapText="1"/>
    </xf>
    <xf numFmtId="0" fontId="0" fillId="18" borderId="49" xfId="0" applyFill="1" applyBorder="1" applyAlignment="1">
      <alignment horizontal="center" vertical="center" wrapText="1"/>
    </xf>
    <xf numFmtId="0" fontId="9" fillId="18" borderId="0" xfId="0" applyFont="1" applyFill="1" applyBorder="1" applyAlignment="1">
      <alignment horizontal="center" vertical="center" wrapText="1"/>
    </xf>
    <xf numFmtId="0" fontId="0" fillId="0" borderId="1" xfId="0" applyBorder="1" applyAlignment="1"/>
  </cellXfs>
  <cellStyles count="60">
    <cellStyle name="20% - Cor1 2" xfId="16"/>
    <cellStyle name="20% - Cor2 2" xfId="17"/>
    <cellStyle name="20% - Cor3 2" xfId="18"/>
    <cellStyle name="20% - Cor4 2" xfId="19"/>
    <cellStyle name="20% - Cor5 2" xfId="20"/>
    <cellStyle name="20% - Cor6 2" xfId="21"/>
    <cellStyle name="40% - Cor1 2" xfId="22"/>
    <cellStyle name="40% - Cor2 2" xfId="23"/>
    <cellStyle name="40% - Cor3 2" xfId="24"/>
    <cellStyle name="40% - Cor4 2" xfId="25"/>
    <cellStyle name="40% - Cor5 2" xfId="26"/>
    <cellStyle name="40% - Cor6 2" xfId="27"/>
    <cellStyle name="60% - Cor1 2" xfId="28"/>
    <cellStyle name="60% - Cor2 2" xfId="29"/>
    <cellStyle name="60% - Cor3 2" xfId="30"/>
    <cellStyle name="60% - Cor4 2" xfId="31"/>
    <cellStyle name="60% - Cor5 2" xfId="32"/>
    <cellStyle name="60% - Cor6 2" xfId="33"/>
    <cellStyle name="CABECALHO" xfId="5"/>
    <cellStyle name="Cabeçalho 1 2" xfId="34"/>
    <cellStyle name="Cabeçalho 2 2" xfId="35"/>
    <cellStyle name="Cabeçalho 3 2" xfId="36"/>
    <cellStyle name="Cabeçalho 4 2" xfId="37"/>
    <cellStyle name="Cálculo 2" xfId="38"/>
    <cellStyle name="Célula Ligada 2" xfId="39"/>
    <cellStyle name="Cor1 2" xfId="40"/>
    <cellStyle name="Cor2 2" xfId="41"/>
    <cellStyle name="Cor3 2" xfId="42"/>
    <cellStyle name="Cor4 2" xfId="43"/>
    <cellStyle name="Cor5 2" xfId="44"/>
    <cellStyle name="Cor6 2" xfId="45"/>
    <cellStyle name="Correcto 2" xfId="46"/>
    <cellStyle name="DADOS" xfId="6"/>
    <cellStyle name="Entrada 2" xfId="47"/>
    <cellStyle name="Hiperligação" xfId="1" builtinId="8"/>
    <cellStyle name="Incorrecto 2" xfId="48"/>
    <cellStyle name="Moeda" xfId="12" builtinId="4"/>
    <cellStyle name="Neutro 2" xfId="49"/>
    <cellStyle name="Normal" xfId="0" builtinId="0"/>
    <cellStyle name="Normal 2" xfId="4"/>
    <cellStyle name="Normal 3" xfId="11"/>
    <cellStyle name="Normal_1. Proposta de quadros para publicação" xfId="7"/>
    <cellStyle name="Normal_Folha4" xfId="15"/>
    <cellStyle name="Normal_Idades" xfId="2"/>
    <cellStyle name="Normal_Sheet4" xfId="13"/>
    <cellStyle name="Normal_Total_Tipo" xfId="14"/>
    <cellStyle name="Nota 2" xfId="50"/>
    <cellStyle name="NUMLINHA" xfId="8"/>
    <cellStyle name="Percentagem" xfId="3" builtinId="5"/>
    <cellStyle name="Percentagem 2" xfId="52"/>
    <cellStyle name="Percentagem 3" xfId="51"/>
    <cellStyle name="QDTITULO" xfId="9"/>
    <cellStyle name="Saída 2" xfId="53"/>
    <cellStyle name="Texto de Aviso 2" xfId="54"/>
    <cellStyle name="Texto Explicativo 2" xfId="55"/>
    <cellStyle name="TITCOLUNA" xfId="10"/>
    <cellStyle name="Título 2" xfId="56"/>
    <cellStyle name="Total 2" xfId="58"/>
    <cellStyle name="Total 3" xfId="57"/>
    <cellStyle name="Verificar Célula 2" xfId="59"/>
  </cellStyles>
  <dxfs count="0"/>
  <tableStyles count="0" defaultTableStyle="TableStyleMedium9" defaultPivotStyle="PivotStyleLight16"/>
  <colors>
    <mruColors>
      <color rgb="FF37A76F"/>
      <color rgb="FFCCD4EC"/>
      <color rgb="FFFCD9BC"/>
      <color rgb="FFFBCDA7"/>
      <color rgb="FFF79F57"/>
      <color rgb="FFF9B277"/>
      <color rgb="FFF9B47B"/>
      <color rgb="FF349C68"/>
      <color rgb="FF2E8A5C"/>
      <color rgb="FF00AC00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PT"/>
  <c:chart>
    <c:plotArea>
      <c:layout>
        <c:manualLayout>
          <c:layoutTarget val="inner"/>
          <c:xMode val="edge"/>
          <c:yMode val="edge"/>
          <c:x val="4.5303342326964376E-2"/>
          <c:y val="3.1936024957531589E-2"/>
          <c:w val="0.93035343035343065"/>
          <c:h val="0.8922155688622736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808080"/>
              </a:solidFill>
              <a:ln w="9525">
                <a:noFill/>
              </a:ln>
            </c:spPr>
          </c:marker>
          <c:dPt>
            <c:idx val="0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2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4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5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6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9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11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12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13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14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19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20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22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25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26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27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29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34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35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36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37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38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39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40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41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43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44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49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50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52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53"/>
            <c:marker>
              <c:spPr>
                <a:solidFill>
                  <a:srgbClr val="00CCFF"/>
                </a:solidFill>
                <a:ln w="9525">
                  <a:noFill/>
                </a:ln>
              </c:spPr>
            </c:marker>
          </c:dPt>
          <c:dPt>
            <c:idx val="54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56"/>
            <c:marker>
              <c:spPr>
                <a:solidFill>
                  <a:srgbClr val="000080"/>
                </a:solidFill>
                <a:ln w="9525">
                  <a:noFill/>
                </a:ln>
              </c:spPr>
            </c:marker>
          </c:dPt>
          <c:dPt>
            <c:idx val="58"/>
            <c:spPr>
              <a:ln w="12700">
                <a:solidFill>
                  <a:srgbClr val="000080"/>
                </a:solidFill>
                <a:prstDash val="solid"/>
              </a:ln>
            </c:spPr>
          </c:dPt>
          <c:dPt>
            <c:idx val="60"/>
            <c:spPr>
              <a:ln w="12700">
                <a:solidFill>
                  <a:srgbClr val="0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2870882271471567E-3"/>
                  <c:y val="-2.6668570564617813E-3"/>
                </c:manualLayout>
              </c:layout>
              <c:tx>
                <c:strRef>
                  <c:f>[2]DataF4.10!$B$10</c:f>
                  <c:strCache>
                    <c:ptCount val="1"/>
                    <c:pt idx="0">
                      <c:v>Sweden</c:v>
                    </c:pt>
                  </c:strCache>
                </c:strRef>
              </c:tx>
              <c:dLblPos val="r"/>
            </c:dLbl>
            <c:dLbl>
              <c:idx val="1"/>
              <c:layout>
                <c:manualLayout>
                  <c:x val="-5.5247254847647694E-3"/>
                  <c:y val="0"/>
                </c:manualLayout>
              </c:layout>
              <c:tx>
                <c:strRef>
                  <c:f>[2]DataF4.10!$B$11</c:f>
                  <c:strCache>
                    <c:ptCount val="1"/>
                    <c:pt idx="0">
                      <c:v>Portugal</c:v>
                    </c:pt>
                  </c:strCache>
                </c:strRef>
              </c:tx>
              <c:dLblPos val="r"/>
            </c:dLbl>
            <c:dLbl>
              <c:idx val="2"/>
              <c:layout>
                <c:manualLayout>
                  <c:x val="-5.7818644795714032E-2"/>
                  <c:y val="2.8239286374250397E-3"/>
                </c:manualLayout>
              </c:layout>
              <c:tx>
                <c:strRef>
                  <c:f>[2]DataF4.10!$B$12</c:f>
                  <c:strCache>
                    <c:ptCount val="1"/>
                    <c:pt idx="0">
                      <c:v>Bulgaria</c:v>
                    </c:pt>
                  </c:strCache>
                </c:strRef>
              </c:tx>
              <c:dLblPos val="r"/>
            </c:dLbl>
            <c:dLbl>
              <c:idx val="3"/>
              <c:layout>
                <c:manualLayout>
                  <c:x val="-2.4981438336178878E-2"/>
                  <c:y val="-2.332218993061964E-2"/>
                </c:manualLayout>
              </c:layout>
              <c:tx>
                <c:strRef>
                  <c:f>[2]DataF4.10!$B$13</c:f>
                  <c:strCache>
                    <c:ptCount val="1"/>
                    <c:pt idx="0">
                      <c:v>Czech Republic</c:v>
                    </c:pt>
                  </c:strCache>
                </c:strRef>
              </c:tx>
              <c:dLblPos val="r"/>
            </c:dLbl>
            <c:dLbl>
              <c:idx val="4"/>
              <c:layout>
                <c:manualLayout>
                  <c:x val="-8.4899152552787762E-3"/>
                  <c:y val="-1.0308347472575458E-3"/>
                </c:manualLayout>
              </c:layout>
              <c:tx>
                <c:strRef>
                  <c:f>[2]DataF4.10!$B$14</c:f>
                  <c:strCache>
                    <c:ptCount val="1"/>
                    <c:pt idx="0">
                      <c:v>Japan</c:v>
                    </c:pt>
                  </c:strCache>
                </c:strRef>
              </c:tx>
              <c:dLblPos val="r"/>
            </c:dLbl>
            <c:dLbl>
              <c:idx val="5"/>
              <c:layout>
                <c:manualLayout>
                  <c:x val="-8.2870882271471567E-3"/>
                  <c:y val="-8.0005711693853024E-3"/>
                </c:manualLayout>
              </c:layout>
              <c:tx>
                <c:strRef>
                  <c:f>[2]DataF4.10!$B$15</c:f>
                  <c:strCache>
                    <c:ptCount val="1"/>
                    <c:pt idx="0">
                      <c:v>Hong Kong-China</c:v>
                    </c:pt>
                  </c:strCache>
                </c:strRef>
              </c:tx>
              <c:dLblPos val="r"/>
            </c:dLbl>
            <c:dLbl>
              <c:idx val="6"/>
              <c:layout>
                <c:manualLayout>
                  <c:x val="-5.5247254847646749E-3"/>
                  <c:y val="0"/>
                </c:manualLayout>
              </c:layout>
              <c:tx>
                <c:strRef>
                  <c:f>[2]DataF4.10!$B$16</c:f>
                  <c:strCache>
                    <c:ptCount val="1"/>
                    <c:pt idx="0">
                      <c:v>Montenegro</c:v>
                    </c:pt>
                  </c:strCache>
                </c:strRef>
              </c:tx>
              <c:dLblPos val="r"/>
            </c:dLbl>
            <c:dLbl>
              <c:idx val="7"/>
              <c:layout>
                <c:manualLayout>
                  <c:x val="-5.9411462304569734E-3"/>
                  <c:y val="4.9767332470979564E-3"/>
                </c:manualLayout>
              </c:layout>
              <c:tx>
                <c:strRef>
                  <c:f>[2]DataF4.10!$B$17</c:f>
                  <c:strCache>
                    <c:ptCount val="1"/>
                    <c:pt idx="0">
                      <c:v>Greece</c:v>
                    </c:pt>
                  </c:strCache>
                </c:strRef>
              </c:tx>
              <c:dLblPos val="r"/>
            </c:dLbl>
            <c:dLbl>
              <c:idx val="8"/>
              <c:layout>
                <c:manualLayout>
                  <c:x val="-5.2313930127665977E-2"/>
                  <c:y val="-2.3358727972180634E-2"/>
                </c:manualLayout>
              </c:layout>
              <c:tx>
                <c:strRef>
                  <c:f>[2]DataF4.10!$B$18</c:f>
                  <c:strCache>
                    <c:ptCount val="1"/>
                    <c:pt idx="0">
                      <c:v>Chinese Taipei</c:v>
                    </c:pt>
                  </c:strCache>
                </c:strRef>
              </c:tx>
              <c:dLblPos val="r"/>
            </c:dLbl>
            <c:dLbl>
              <c:idx val="9"/>
              <c:layout>
                <c:manualLayout>
                  <c:x val="-2.7623627423823943E-3"/>
                  <c:y val="9.7783629132104632E-17"/>
                </c:manualLayout>
              </c:layout>
              <c:tx>
                <c:strRef>
                  <c:f>[2]DataF4.10!$B$19</c:f>
                  <c:strCache>
                    <c:ptCount val="1"/>
                  </c:strCache>
                </c:strRef>
              </c:tx>
              <c:dLblPos val="r"/>
            </c:dLbl>
            <c:dLbl>
              <c:idx val="10"/>
              <c:layout>
                <c:manualLayout>
                  <c:x val="-4.4319304161824008E-3"/>
                  <c:y val="2.4052682037499556E-3"/>
                </c:manualLayout>
              </c:layout>
              <c:tx>
                <c:strRef>
                  <c:f>[2]DataF4.10!$B$20</c:f>
                  <c:strCache>
                    <c:ptCount val="1"/>
                    <c:pt idx="0">
                      <c:v>Thailand</c:v>
                    </c:pt>
                  </c:strCache>
                </c:strRef>
              </c:tx>
              <c:dLblPos val="r"/>
            </c:dLbl>
            <c:dLbl>
              <c:idx val="11"/>
              <c:layout>
                <c:manualLayout>
                  <c:x val="-2.7623627423822889E-3"/>
                  <c:y val="0"/>
                </c:manualLayout>
              </c:layout>
              <c:tx>
                <c:strRef>
                  <c:f>[2]DataF4.10!$B$21</c:f>
                  <c:strCache>
                    <c:ptCount val="1"/>
                    <c:pt idx="0">
                      <c:v>Azerbaijan</c:v>
                    </c:pt>
                  </c:strCache>
                </c:strRef>
              </c:tx>
              <c:dLblPos val="r"/>
            </c:dLbl>
            <c:dLbl>
              <c:idx val="12"/>
              <c:layout>
                <c:manualLayout>
                  <c:x val="-3.0916929335824673E-2"/>
                  <c:y val="-1.9711643455910765E-2"/>
                </c:manualLayout>
              </c:layout>
              <c:tx>
                <c:strRef>
                  <c:f>[2]DataF4.10!$B$22</c:f>
                  <c:strCache>
                    <c:ptCount val="1"/>
                    <c:pt idx="0">
                      <c:v>Estonia</c:v>
                    </c:pt>
                  </c:strCache>
                </c:strRef>
              </c:tx>
              <c:dLblPos val="r"/>
            </c:dLbl>
            <c:dLbl>
              <c:idx val="13"/>
              <c:layout>
                <c:manualLayout>
                  <c:x val="-5.5874332941056114E-2"/>
                  <c:y val="1.1965158667495491E-3"/>
                </c:manualLayout>
              </c:layout>
              <c:tx>
                <c:strRef>
                  <c:f>[2]DataF4.10!$B$23</c:f>
                  <c:strCache>
                    <c:ptCount val="1"/>
                    <c:pt idx="0">
                      <c:v>Uruguay</c:v>
                    </c:pt>
                  </c:strCache>
                </c:strRef>
              </c:tx>
              <c:dLblPos val="r"/>
            </c:dLbl>
            <c:dLbl>
              <c:idx val="14"/>
              <c:layout>
                <c:manualLayout>
                  <c:x val="-4.1943324364354766E-3"/>
                  <c:y val="5.7062341458497976E-3"/>
                </c:manualLayout>
              </c:layout>
              <c:tx>
                <c:strRef>
                  <c:f>[2]DataF4.10!$B$24</c:f>
                  <c:strCache>
                    <c:ptCount val="1"/>
                    <c:pt idx="0">
                      <c:v>Chile</c:v>
                    </c:pt>
                  </c:strCache>
                </c:strRef>
              </c:tx>
              <c:dLblPos val="r"/>
            </c:dLbl>
            <c:dLbl>
              <c:idx val="15"/>
              <c:layout>
                <c:manualLayout>
                  <c:x val="-9.6682695983383426E-3"/>
                  <c:y val="-1.3334285282308881E-2"/>
                </c:manualLayout>
              </c:layout>
              <c:tx>
                <c:strRef>
                  <c:f>[2]DataF4.10!$B$25</c:f>
                  <c:strCache>
                    <c:ptCount val="1"/>
                    <c:pt idx="0">
                      <c:v>Indonesia</c:v>
                    </c:pt>
                  </c:strCache>
                </c:strRef>
              </c:tx>
              <c:dLblPos val="r"/>
            </c:dLbl>
            <c:dLbl>
              <c:idx val="16"/>
              <c:layout>
                <c:manualLayout>
                  <c:x val="-7.8931796502609512E-3"/>
                  <c:y val="4.4882994271507274E-3"/>
                </c:manualLayout>
              </c:layout>
              <c:tx>
                <c:strRef>
                  <c:f>[2]DataF4.10!$B$26</c:f>
                  <c:strCache>
                    <c:ptCount val="1"/>
                    <c:pt idx="0">
                      <c:v>Spain</c:v>
                    </c:pt>
                  </c:strCache>
                </c:strRef>
              </c:tx>
              <c:dLblPos val="r"/>
            </c:dLbl>
            <c:dLbl>
              <c:idx val="17"/>
              <c:layout>
                <c:manualLayout>
                  <c:x val="-4.2862190616732458E-2"/>
                  <c:y val="5.6379878038537116E-3"/>
                </c:manualLayout>
              </c:layout>
              <c:tx>
                <c:strRef>
                  <c:f>[2]DataF4.10!$B$27</c:f>
                  <c:strCache>
                    <c:ptCount val="1"/>
                    <c:pt idx="0">
                      <c:v>Brazil</c:v>
                    </c:pt>
                  </c:strCache>
                </c:strRef>
              </c:tx>
              <c:dLblPos val="r"/>
            </c:dLbl>
            <c:dLbl>
              <c:idx val="18"/>
              <c:layout>
                <c:manualLayout>
                  <c:x val="-5.5748504055507422E-2"/>
                  <c:y val="7.7149864767248489E-4"/>
                </c:manualLayout>
              </c:layout>
              <c:tx>
                <c:strRef>
                  <c:f>[2]DataF4.10!$B$28</c:f>
                  <c:strCache>
                    <c:ptCount val="1"/>
                    <c:pt idx="0">
                      <c:v>Romania</c:v>
                    </c:pt>
                  </c:strCache>
                </c:strRef>
              </c:tx>
              <c:dLblPos val="r"/>
            </c:dLbl>
            <c:dLbl>
              <c:idx val="19"/>
              <c:layout>
                <c:manualLayout>
                  <c:x val="-5.6704999343667004E-2"/>
                  <c:y val="1.3323785845078754E-3"/>
                </c:manualLayout>
              </c:layout>
              <c:tx>
                <c:strRef>
                  <c:f>[2]DataF4.10!$B$29</c:f>
                  <c:strCache>
                    <c:ptCount val="1"/>
                    <c:pt idx="0">
                      <c:v>Argentina</c:v>
                    </c:pt>
                  </c:strCache>
                </c:strRef>
              </c:tx>
              <c:dLblPos val="r"/>
            </c:dLbl>
            <c:dLbl>
              <c:idx val="20"/>
              <c:layout>
                <c:manualLayout>
                  <c:x val="-5.3801908357636406E-3"/>
                  <c:y val="6.7868362255787994E-4"/>
                </c:manualLayout>
              </c:layout>
              <c:tx>
                <c:strRef>
                  <c:f>[2]DataF4.10!$B$30</c:f>
                  <c:strCache>
                    <c:ptCount val="1"/>
                    <c:pt idx="0">
                      <c:v>Russian Federation</c:v>
                    </c:pt>
                  </c:strCache>
                </c:strRef>
              </c:tx>
              <c:dLblPos val="r"/>
            </c:dLbl>
            <c:dLbl>
              <c:idx val="21"/>
              <c:layout>
                <c:manualLayout>
                  <c:x val="-7.1821431301941963E-2"/>
                  <c:y val="-1.0667428225847143E-2"/>
                </c:manualLayout>
              </c:layout>
              <c:tx>
                <c:strRef>
                  <c:f>[2]DataF4.10!$B$31</c:f>
                  <c:strCache>
                    <c:ptCount val="1"/>
                    <c:pt idx="0">
                      <c:v>Liechtenstein</c:v>
                    </c:pt>
                  </c:strCache>
                </c:strRef>
              </c:tx>
              <c:dLblPos val="r"/>
            </c:dLbl>
            <c:dLbl>
              <c:idx val="22"/>
              <c:layout>
                <c:manualLayout>
                  <c:x val="-5.1925894290468066E-2"/>
                  <c:y val="1.7849043291279603E-4"/>
                </c:manualLayout>
              </c:layout>
              <c:tx>
                <c:strRef>
                  <c:f>[2]DataF4.10!$B$32</c:f>
                  <c:strCache>
                    <c:ptCount val="1"/>
                    <c:pt idx="0">
                      <c:v>Belgium</c:v>
                    </c:pt>
                  </c:strCache>
                </c:strRef>
              </c:tx>
              <c:dLblPos val="r"/>
            </c:dLbl>
            <c:dLbl>
              <c:idx val="23"/>
              <c:layout>
                <c:manualLayout>
                  <c:x val="-5.0827909477590444E-2"/>
                  <c:y val="-1.2861810606951019E-3"/>
                </c:manualLayout>
              </c:layout>
              <c:tx>
                <c:strRef>
                  <c:f>[2]DataF4.10!$B$33</c:f>
                  <c:strCache>
                    <c:ptCount val="1"/>
                    <c:pt idx="0">
                      <c:v>Lithuania</c:v>
                    </c:pt>
                  </c:strCache>
                </c:strRef>
              </c:tx>
              <c:dLblPos val="r"/>
            </c:dLbl>
            <c:dLbl>
              <c:idx val="24"/>
              <c:layout>
                <c:manualLayout>
                  <c:x val="-1.2068480059928053E-2"/>
                  <c:y val="6.2845431484872434E-3"/>
                </c:manualLayout>
              </c:layout>
              <c:tx>
                <c:strRef>
                  <c:f>[2]DataF4.10!$B$34</c:f>
                  <c:strCache>
                    <c:ptCount val="1"/>
                    <c:pt idx="0">
                      <c:v>Austria</c:v>
                    </c:pt>
                  </c:strCache>
                </c:strRef>
              </c:tx>
              <c:dLblPos val="r"/>
            </c:dLbl>
            <c:dLbl>
              <c:idx val="25"/>
              <c:layout>
                <c:manualLayout>
                  <c:x val="-2.0311849002727242E-2"/>
                  <c:y val="-2.4015362776555253E-2"/>
                </c:manualLayout>
              </c:layout>
              <c:tx>
                <c:strRef>
                  <c:f>[2]DataF4.10!$B$35</c:f>
                  <c:strCache>
                    <c:ptCount val="1"/>
                    <c:pt idx="0">
                      <c:v>Canada</c:v>
                    </c:pt>
                  </c:strCache>
                </c:strRef>
              </c:tx>
              <c:dLblPos val="r"/>
            </c:dLbl>
            <c:dLbl>
              <c:idx val="26"/>
              <c:tx>
                <c:strRef>
                  <c:f>[2]DataF4.10!$B$36</c:f>
                  <c:strCache>
                    <c:ptCount val="1"/>
                    <c:pt idx="0">
                      <c:v>Latvia</c:v>
                    </c:pt>
                  </c:strCache>
                </c:strRef>
              </c:tx>
            </c:dLbl>
            <c:dLbl>
              <c:idx val="27"/>
              <c:layout>
                <c:manualLayout>
                  <c:x val="-3.6270149070796676E-2"/>
                  <c:y val="-2.3056974146185766E-2"/>
                </c:manualLayout>
              </c:layout>
              <c:tx>
                <c:strRef>
                  <c:f>[2]DataF4.10!$B$37</c:f>
                  <c:strCache>
                    <c:ptCount val="1"/>
                    <c:pt idx="0">
                      <c:v>New Zealand</c:v>
                    </c:pt>
                  </c:strCache>
                </c:strRef>
              </c:tx>
              <c:dLblPos val="r"/>
            </c:dLbl>
            <c:dLbl>
              <c:idx val="28"/>
              <c:layout>
                <c:manualLayout>
                  <c:x val="-4.8922096694223954E-2"/>
                  <c:y val="3.7707678868412757E-3"/>
                </c:manualLayout>
              </c:layout>
              <c:tx>
                <c:strRef>
                  <c:f>[2]DataF4.10!$B$38</c:f>
                  <c:strCache>
                    <c:ptCount val="1"/>
                    <c:pt idx="0">
                      <c:v>Mexico</c:v>
                    </c:pt>
                  </c:strCache>
                </c:strRef>
              </c:tx>
              <c:dLblPos val="r"/>
            </c:dLbl>
            <c:dLbl>
              <c:idx val="29"/>
              <c:layout>
                <c:manualLayout>
                  <c:x val="-8.2870882271471567E-3"/>
                  <c:y val="0"/>
                </c:manualLayout>
              </c:layout>
              <c:tx>
                <c:strRef>
                  <c:f>[2]DataF4.10!$B$39</c:f>
                  <c:strCache>
                    <c:ptCount val="1"/>
                    <c:pt idx="0">
                      <c:v>Jordan</c:v>
                    </c:pt>
                  </c:strCache>
                </c:strRef>
              </c:tx>
              <c:dLblPos val="r"/>
            </c:dLbl>
            <c:dLbl>
              <c:idx val="30"/>
              <c:layout>
                <c:manualLayout>
                  <c:x val="-6.9059068559559405E-3"/>
                  <c:y val="0"/>
                </c:manualLayout>
              </c:layout>
              <c:tx>
                <c:strRef>
                  <c:f>[2]DataF4.10!$B$40</c:f>
                  <c:strCache>
                    <c:ptCount val="1"/>
                    <c:pt idx="0">
                      <c:v>Croatia</c:v>
                    </c:pt>
                  </c:strCache>
                </c:strRef>
              </c:tx>
              <c:dLblPos val="r"/>
            </c:dLbl>
            <c:dLbl>
              <c:idx val="31"/>
              <c:layout>
                <c:manualLayout>
                  <c:x val="-8.2870882271471567E-3"/>
                  <c:y val="2.6668570564617813E-3"/>
                </c:manualLayout>
              </c:layout>
              <c:tx>
                <c:strRef>
                  <c:f>[2]DataF4.10!$B$41</c:f>
                  <c:strCache>
                    <c:ptCount val="1"/>
                    <c:pt idx="0">
                      <c:v>Ireland</c:v>
                    </c:pt>
                  </c:strCache>
                </c:strRef>
              </c:tx>
              <c:dLblPos val="r"/>
            </c:dLbl>
            <c:dLbl>
              <c:idx val="32"/>
              <c:layout>
                <c:manualLayout>
                  <c:x val="-5.7034525292856714E-2"/>
                  <c:y val="8.7649301997413237E-4"/>
                </c:manualLayout>
              </c:layout>
              <c:tx>
                <c:strRef>
                  <c:f>[2]DataF4.10!$B$42</c:f>
                  <c:strCache>
                    <c:ptCount val="1"/>
                    <c:pt idx="0">
                      <c:v>Colombia</c:v>
                    </c:pt>
                  </c:strCache>
                </c:strRef>
              </c:tx>
              <c:dLblPos val="r"/>
            </c:dLbl>
            <c:dLbl>
              <c:idx val="33"/>
              <c:layout>
                <c:manualLayout>
                  <c:x val="-8.279475416439799E-3"/>
                  <c:y val="-1.1242587397315575E-2"/>
                </c:manualLayout>
              </c:layout>
              <c:tx>
                <c:strRef>
                  <c:f>[2]DataF4.10!$B$43</c:f>
                  <c:strCache>
                    <c:ptCount val="1"/>
                    <c:pt idx="0">
                      <c:v>United Kingdom</c:v>
                    </c:pt>
                  </c:strCache>
                </c:strRef>
              </c:tx>
              <c:dLblPos val="r"/>
            </c:dLbl>
            <c:dLbl>
              <c:idx val="34"/>
              <c:tx>
                <c:strRef>
                  <c:f>[2]DataF4.10!$B$44</c:f>
                  <c:strCache>
                    <c:ptCount val="1"/>
                    <c:pt idx="0">
                      <c:v>Australia</c:v>
                    </c:pt>
                  </c:strCache>
                </c:strRef>
              </c:tx>
            </c:dLbl>
            <c:dLbl>
              <c:idx val="35"/>
              <c:layout>
                <c:manualLayout>
                  <c:x val="-3.3148352908588523E-2"/>
                  <c:y val="-1.6001142338770601E-2"/>
                </c:manualLayout>
              </c:layout>
              <c:tx>
                <c:strRef>
                  <c:f>[2]DataF4.10!$B$45</c:f>
                  <c:strCache>
                    <c:ptCount val="1"/>
                    <c:pt idx="0">
                      <c:v>United States</c:v>
                    </c:pt>
                  </c:strCache>
                </c:strRef>
              </c:tx>
              <c:dLblPos val="r"/>
            </c:dLbl>
            <c:dLbl>
              <c:idx val="36"/>
              <c:layout>
                <c:manualLayout>
                  <c:x val="-2.7623627423823943E-3"/>
                  <c:y val="0"/>
                </c:manualLayout>
              </c:layout>
              <c:tx>
                <c:strRef>
                  <c:f>[2]DataF4.10!$B$46</c:f>
                  <c:strCache>
                    <c:ptCount val="1"/>
                    <c:pt idx="0">
                      <c:v>Finland</c:v>
                    </c:pt>
                  </c:strCache>
                </c:strRef>
              </c:tx>
              <c:dLblPos val="r"/>
            </c:dLbl>
            <c:dLbl>
              <c:idx val="37"/>
              <c:layout>
                <c:manualLayout>
                  <c:x val="-5.5247254847646749E-3"/>
                  <c:y val="0"/>
                </c:manualLayout>
              </c:layout>
              <c:tx>
                <c:strRef>
                  <c:f>[2]DataF4.10!$B$47</c:f>
                  <c:strCache>
                    <c:ptCount val="1"/>
                    <c:pt idx="0">
                      <c:v>Iceland</c:v>
                    </c:pt>
                  </c:strCache>
                </c:strRef>
              </c:tx>
              <c:dLblPos val="r"/>
            </c:dLbl>
            <c:dLbl>
              <c:idx val="38"/>
              <c:layout>
                <c:manualLayout>
                  <c:x val="-6.9059068559559405E-3"/>
                  <c:y val="0"/>
                </c:manualLayout>
              </c:layout>
              <c:tx>
                <c:strRef>
                  <c:f>[2]DataF4.10!$B$48</c:f>
                  <c:strCache>
                    <c:ptCount val="1"/>
                    <c:pt idx="0">
                      <c:v>Tunisia</c:v>
                    </c:pt>
                  </c:strCache>
                </c:strRef>
              </c:tx>
              <c:dLblPos val="r"/>
            </c:dLbl>
            <c:dLbl>
              <c:idx val="39"/>
              <c:layout>
                <c:manualLayout>
                  <c:x val="-6.9059068559559405E-3"/>
                  <c:y val="0"/>
                </c:manualLayout>
              </c:layout>
              <c:tx>
                <c:strRef>
                  <c:f>[2]DataF4.10!$B$49</c:f>
                  <c:strCache>
                    <c:ptCount val="1"/>
                    <c:pt idx="0">
                      <c:v>Israel</c:v>
                    </c:pt>
                  </c:strCache>
                </c:strRef>
              </c:tx>
              <c:dLblPos val="r"/>
            </c:dLbl>
            <c:dLbl>
              <c:idx val="40"/>
              <c:layout>
                <c:manualLayout>
                  <c:x val="-2.0280962742143086E-2"/>
                  <c:y val="-2.6076612293581072E-2"/>
                </c:manualLayout>
              </c:layout>
              <c:tx>
                <c:strRef>
                  <c:f>[2]DataF4.10!$B$50</c:f>
                  <c:strCache>
                    <c:ptCount val="1"/>
                    <c:pt idx="0">
                      <c:v>Kyrgyzstan</c:v>
                    </c:pt>
                  </c:strCache>
                </c:strRef>
              </c:tx>
              <c:dLblPos val="r"/>
            </c:dLbl>
            <c:dLbl>
              <c:idx val="41"/>
              <c:layout>
                <c:manualLayout>
                  <c:x val="-7.8964973453163299E-3"/>
                  <c:y val="-1.5037641252927225E-2"/>
                </c:manualLayout>
              </c:layout>
              <c:tx>
                <c:strRef>
                  <c:f>[2]DataF4.10!$B$51</c:f>
                  <c:strCache>
                    <c:ptCount val="1"/>
                    <c:pt idx="0">
                      <c:v>Norway</c:v>
                    </c:pt>
                  </c:strCache>
                </c:strRef>
              </c:tx>
              <c:dLblPos val="r"/>
            </c:dLbl>
            <c:dLbl>
              <c:idx val="42"/>
              <c:layout>
                <c:manualLayout>
                  <c:x val="-5.9543055175368155E-2"/>
                  <c:y val="-4.1779360626270365E-3"/>
                </c:manualLayout>
              </c:layout>
              <c:tx>
                <c:strRef>
                  <c:f>[2]DataF4.10!$B$52</c:f>
                  <c:strCache>
                    <c:ptCount val="1"/>
                    <c:pt idx="0">
                      <c:v>Slovenia</c:v>
                    </c:pt>
                  </c:strCache>
                </c:strRef>
              </c:tx>
              <c:dLblPos val="r"/>
            </c:dLbl>
            <c:dLbl>
              <c:idx val="43"/>
              <c:layout>
                <c:manualLayout>
                  <c:x val="-5.5389614407875112E-2"/>
                  <c:y val="-8.9866783140423907E-3"/>
                </c:manualLayout>
              </c:layout>
              <c:tx>
                <c:strRef>
                  <c:f>[2]DataF4.10!$B$53</c:f>
                  <c:strCache>
                    <c:ptCount val="1"/>
                    <c:pt idx="0">
                      <c:v>Hungary</c:v>
                    </c:pt>
                  </c:strCache>
                </c:strRef>
              </c:tx>
              <c:dLblPos val="r"/>
            </c:dLbl>
            <c:dLbl>
              <c:idx val="44"/>
              <c:layout>
                <c:manualLayout>
                  <c:x val="-5.5247254847647694E-3"/>
                  <c:y val="-5.3337141129235635E-3"/>
                </c:manualLayout>
              </c:layout>
              <c:tx>
                <c:strRef>
                  <c:f>[2]DataF4.10!$B$54</c:f>
                  <c:strCache>
                    <c:ptCount val="1"/>
                    <c:pt idx="0">
                      <c:v>Macao-China</c:v>
                    </c:pt>
                  </c:strCache>
                </c:strRef>
              </c:tx>
              <c:dLblPos val="r"/>
            </c:dLbl>
            <c:dLbl>
              <c:idx val="45"/>
              <c:layout>
                <c:manualLayout>
                  <c:x val="-9.9033966947568528E-3"/>
                  <c:y val="-9.8944596569624319E-3"/>
                </c:manualLayout>
              </c:layout>
              <c:tx>
                <c:strRef>
                  <c:f>[2]DataF4.10!$B$55</c:f>
                  <c:strCache>
                    <c:ptCount val="1"/>
                    <c:pt idx="0">
                      <c:v>Poland</c:v>
                    </c:pt>
                  </c:strCache>
                </c:strRef>
              </c:tx>
              <c:dLblPos val="r"/>
            </c:dLbl>
            <c:dLbl>
              <c:idx val="46"/>
              <c:layout>
                <c:manualLayout>
                  <c:x val="-2.6780889278519796E-2"/>
                  <c:y val="-2.5654534916928453E-2"/>
                </c:manualLayout>
              </c:layout>
              <c:tx>
                <c:strRef>
                  <c:f>[2]DataF4.10!$B$56</c:f>
                  <c:strCache>
                    <c:ptCount val="1"/>
                    <c:pt idx="0">
                      <c:v>Turkey</c:v>
                    </c:pt>
                  </c:strCache>
                </c:strRef>
              </c:tx>
              <c:dLblPos val="r"/>
            </c:dLbl>
            <c:dLbl>
              <c:idx val="47"/>
              <c:layout>
                <c:manualLayout>
                  <c:x val="-7.2267868272708716E-2"/>
                  <c:y val="-1.0300367900280546E-2"/>
                </c:manualLayout>
              </c:layout>
              <c:tx>
                <c:strRef>
                  <c:f>[2]DataF4.10!$B$57</c:f>
                  <c:strCache>
                    <c:ptCount val="1"/>
                    <c:pt idx="0">
                      <c:v>Netherlands</c:v>
                    </c:pt>
                  </c:strCache>
                </c:strRef>
              </c:tx>
              <c:dLblPos val="r"/>
            </c:dLbl>
            <c:dLbl>
              <c:idx val="48"/>
              <c:layout>
                <c:manualLayout>
                  <c:x val="-8.2870882271471567E-3"/>
                  <c:y val="0"/>
                </c:manualLayout>
              </c:layout>
              <c:tx>
                <c:strRef>
                  <c:f>[2]DataF4.10!$B$58</c:f>
                  <c:strCache>
                    <c:ptCount val="1"/>
                    <c:pt idx="0">
                      <c:v>Serbia</c:v>
                    </c:pt>
                  </c:strCache>
                </c:strRef>
              </c:tx>
              <c:dLblPos val="r"/>
            </c:dLbl>
            <c:dLbl>
              <c:idx val="49"/>
              <c:tx>
                <c:strRef>
                  <c:f>[2]DataF4.10!$B$59</c:f>
                  <c:strCache>
                    <c:ptCount val="1"/>
                    <c:pt idx="0">
                      <c:v>Italy</c:v>
                    </c:pt>
                  </c:strCache>
                </c:strRef>
              </c:tx>
            </c:dLbl>
            <c:dLbl>
              <c:idx val="50"/>
              <c:layout>
                <c:manualLayout>
                  <c:x val="-7.0056673025538946E-2"/>
                  <c:y val="3.0211080686075361E-3"/>
                </c:manualLayout>
              </c:layout>
              <c:tx>
                <c:strRef>
                  <c:f>[2]DataF4.10!$B$60</c:f>
                  <c:strCache>
                    <c:ptCount val="1"/>
                    <c:pt idx="0">
                      <c:v>Luxembourg</c:v>
                    </c:pt>
                  </c:strCache>
                </c:strRef>
              </c:tx>
              <c:dLblPos val="r"/>
            </c:dLbl>
            <c:dLbl>
              <c:idx val="51"/>
              <c:layout>
                <c:manualLayout>
                  <c:x val="-1.0033013025139032E-2"/>
                  <c:y val="-2.8690126309061505E-3"/>
                </c:manualLayout>
              </c:layout>
              <c:tx>
                <c:strRef>
                  <c:f>[2]DataF4.10!$B$61</c:f>
                  <c:strCache>
                    <c:ptCount val="1"/>
                    <c:pt idx="0">
                      <c:v>Denmark</c:v>
                    </c:pt>
                  </c:strCache>
                </c:strRef>
              </c:tx>
              <c:dLblPos val="r"/>
            </c:dLbl>
            <c:dLbl>
              <c:idx val="52"/>
              <c:layout>
                <c:manualLayout>
                  <c:x val="-6.7913666811419096E-2"/>
                  <c:y val="1.6366312765635761E-2"/>
                </c:manualLayout>
              </c:layout>
              <c:tx>
                <c:strRef>
                  <c:f>[2]DataF4.10!$B$62</c:f>
                  <c:strCache>
                    <c:ptCount val="1"/>
                    <c:pt idx="0">
                      <c:v>Slovak Republic</c:v>
                    </c:pt>
                  </c:strCache>
                </c:strRef>
              </c:tx>
              <c:dLblPos val="r"/>
            </c:dLbl>
            <c:dLbl>
              <c:idx val="53"/>
              <c:layout>
                <c:manualLayout>
                  <c:x val="-9.4894773011541048E-3"/>
                  <c:y val="2.2395299611940858E-3"/>
                </c:manualLayout>
              </c:layout>
              <c:tx>
                <c:strRef>
                  <c:f>[2]DataF4.10!$B$63</c:f>
                  <c:strCache>
                    <c:ptCount val="1"/>
                    <c:pt idx="0">
                      <c:v>Korea</c:v>
                    </c:pt>
                  </c:strCache>
                </c:strRef>
              </c:tx>
              <c:dLblPos val="r"/>
            </c:dLbl>
            <c:dLbl>
              <c:idx val="54"/>
              <c:layout>
                <c:manualLayout>
                  <c:x val="-3.5305929794118432E-3"/>
                  <c:y val="-2.5691399353523271E-4"/>
                </c:manualLayout>
              </c:layout>
              <c:tx>
                <c:strRef>
                  <c:f>[2]DataF4.10!$B$64</c:f>
                  <c:strCache>
                    <c:ptCount val="1"/>
                    <c:pt idx="0">
                      <c:v>France</c:v>
                    </c:pt>
                  </c:strCache>
                </c:strRef>
              </c:tx>
              <c:dLblPos val="r"/>
            </c:dLbl>
            <c:dLbl>
              <c:idx val="55"/>
              <c:layout>
                <c:manualLayout>
                  <c:x val="-6.480579121736145E-2"/>
                  <c:y val="7.2160532195474324E-3"/>
                </c:manualLayout>
              </c:layout>
              <c:tx>
                <c:strRef>
                  <c:f>[2]DataF4.10!$B$65</c:f>
                  <c:strCache>
                    <c:ptCount val="1"/>
                    <c:pt idx="0">
                      <c:v>Switzerland</c:v>
                    </c:pt>
                  </c:strCache>
                </c:strRef>
              </c:tx>
              <c:dLblPos val="r"/>
            </c:dLbl>
            <c:dLbl>
              <c:idx val="56"/>
              <c:layout>
                <c:manualLayout>
                  <c:x val="-5.2741552580541633E-2"/>
                  <c:y val="-1.5216834377677365E-2"/>
                </c:manualLayout>
              </c:layout>
              <c:tx>
                <c:strRef>
                  <c:f>[2]DataF4.10!$B$66</c:f>
                  <c:strCache>
                    <c:ptCount val="1"/>
                    <c:pt idx="0">
                      <c:v>Germany</c:v>
                    </c:pt>
                  </c:strCache>
                </c:strRef>
              </c:tx>
              <c:dLblPos val="r"/>
            </c:dLbl>
            <c:dLbl>
              <c:idx val="57"/>
              <c:tx>
                <c:strRef>
                  <c:f>[2]DataF4.10!$B$67</c:f>
                  <c:strCache>
                    <c:ptCount val="1"/>
                  </c:strCache>
                </c:strRef>
              </c:tx>
            </c:dLbl>
            <c:dLbl>
              <c:idx val="58"/>
              <c:tx>
                <c:strRef>
                  <c:f>[2]DataF4.10!$B$68</c:f>
                  <c:strCache>
                    <c:ptCount val="1"/>
                  </c:strCache>
                </c:strRef>
              </c:tx>
            </c:dLbl>
            <c:dLbl>
              <c:idx val="59"/>
              <c:tx>
                <c:strRef>
                  <c:f>[2]DataF4.10!$B$69</c:f>
                  <c:strCache>
                    <c:ptCount val="1"/>
                  </c:strCache>
                </c:strRef>
              </c:tx>
            </c:dLbl>
            <c:dLbl>
              <c:idx val="60"/>
              <c:tx>
                <c:strRef>
                  <c:f>[2]DataF4.10!$B$70</c:f>
                  <c:strCache>
                    <c:ptCount val="1"/>
                  </c:strCache>
                </c:strRef>
              </c:tx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Val val="1"/>
          </c:dLbls>
          <c:xVal>
            <c:numRef>
              <c:f>[2]DataF4.10!$C$10:$C$70</c:f>
              <c:numCache>
                <c:formatCode>General</c:formatCode>
                <c:ptCount val="61"/>
                <c:pt idx="0">
                  <c:v>10.550641870327462</c:v>
                </c:pt>
                <c:pt idx="1">
                  <c:v>16.639891509146871</c:v>
                </c:pt>
                <c:pt idx="2">
                  <c:v>24.134071407275055</c:v>
                </c:pt>
                <c:pt idx="3">
                  <c:v>15.554144639431172</c:v>
                </c:pt>
                <c:pt idx="4">
                  <c:v>7.4268625462088789</c:v>
                </c:pt>
                <c:pt idx="5">
                  <c:v>6.8862978049439274</c:v>
                </c:pt>
                <c:pt idx="6">
                  <c:v>7.5251288261433595</c:v>
                </c:pt>
                <c:pt idx="7">
                  <c:v>14.961354362534705</c:v>
                </c:pt>
                <c:pt idx="8">
                  <c:v>12.521067583443852</c:v>
                </c:pt>
                <c:pt idx="10">
                  <c:v>15.94946080687118</c:v>
                </c:pt>
                <c:pt idx="11">
                  <c:v>4.7365263748177489</c:v>
                </c:pt>
                <c:pt idx="12">
                  <c:v>9.3264300091437455</c:v>
                </c:pt>
                <c:pt idx="13">
                  <c:v>18.253371706440095</c:v>
                </c:pt>
                <c:pt idx="14">
                  <c:v>23.264781371150896</c:v>
                </c:pt>
                <c:pt idx="15">
                  <c:v>10.221297035910489</c:v>
                </c:pt>
                <c:pt idx="16">
                  <c:v>13.898504302892963</c:v>
                </c:pt>
                <c:pt idx="17">
                  <c:v>17.075992624255811</c:v>
                </c:pt>
                <c:pt idx="18">
                  <c:v>16.598839996730902</c:v>
                </c:pt>
                <c:pt idx="19">
                  <c:v>19.507976584213989</c:v>
                </c:pt>
                <c:pt idx="20">
                  <c:v>8.1319828345077667</c:v>
                </c:pt>
                <c:pt idx="21">
                  <c:v>20.435758919573765</c:v>
                </c:pt>
                <c:pt idx="22">
                  <c:v>19.403693500340321</c:v>
                </c:pt>
                <c:pt idx="23">
                  <c:v>15.209141780645602</c:v>
                </c:pt>
                <c:pt idx="24">
                  <c:v>15.443285786802571</c:v>
                </c:pt>
                <c:pt idx="25">
                  <c:v>8.2197243127947122</c:v>
                </c:pt>
                <c:pt idx="26">
                  <c:v>9.7443777335348738</c:v>
                </c:pt>
                <c:pt idx="27">
                  <c:v>16.438109322913981</c:v>
                </c:pt>
                <c:pt idx="28">
                  <c:v>16.776684047894726</c:v>
                </c:pt>
                <c:pt idx="29">
                  <c:v>11.233396595918125</c:v>
                </c:pt>
                <c:pt idx="30">
                  <c:v>12.277962685578407</c:v>
                </c:pt>
                <c:pt idx="31">
                  <c:v>12.677754328490154</c:v>
                </c:pt>
                <c:pt idx="32">
                  <c:v>11.421565103694128</c:v>
                </c:pt>
                <c:pt idx="33">
                  <c:v>13.935179374417345</c:v>
                </c:pt>
                <c:pt idx="34">
                  <c:v>11.303879607714942</c:v>
                </c:pt>
                <c:pt idx="35">
                  <c:v>17.893433840555442</c:v>
                </c:pt>
                <c:pt idx="36">
                  <c:v>8.2752491707359788</c:v>
                </c:pt>
                <c:pt idx="37">
                  <c:v>6.7076011108001721</c:v>
                </c:pt>
                <c:pt idx="38">
                  <c:v>9.5035727791673388</c:v>
                </c:pt>
                <c:pt idx="39">
                  <c:v>10.890864146522661</c:v>
                </c:pt>
                <c:pt idx="40">
                  <c:v>8.1692319701804532</c:v>
                </c:pt>
                <c:pt idx="41">
                  <c:v>8.2816575964912147</c:v>
                </c:pt>
                <c:pt idx="42">
                  <c:v>16.685766573107184</c:v>
                </c:pt>
                <c:pt idx="43">
                  <c:v>21.419383043599044</c:v>
                </c:pt>
                <c:pt idx="44">
                  <c:v>2.1867636247747924</c:v>
                </c:pt>
                <c:pt idx="45">
                  <c:v>14.490972709257511</c:v>
                </c:pt>
                <c:pt idx="46">
                  <c:v>16.521883781513285</c:v>
                </c:pt>
                <c:pt idx="47">
                  <c:v>16.73885567838505</c:v>
                </c:pt>
                <c:pt idx="48">
                  <c:v>13.165060579969246</c:v>
                </c:pt>
                <c:pt idx="49">
                  <c:v>10.039088679090892</c:v>
                </c:pt>
                <c:pt idx="50">
                  <c:v>21.726970354855808</c:v>
                </c:pt>
                <c:pt idx="51">
                  <c:v>14.145744753467213</c:v>
                </c:pt>
                <c:pt idx="52">
                  <c:v>19.200790369711576</c:v>
                </c:pt>
                <c:pt idx="53">
                  <c:v>8.1426210732320197</c:v>
                </c:pt>
                <c:pt idx="54">
                  <c:v>21.15987911921637</c:v>
                </c:pt>
                <c:pt idx="55">
                  <c:v>15.703488434388479</c:v>
                </c:pt>
                <c:pt idx="56">
                  <c:v>18.960271847696394</c:v>
                </c:pt>
                <c:pt idx="57">
                  <c:v>14.421253369163574</c:v>
                </c:pt>
                <c:pt idx="58">
                  <c:v>14.421253369163574</c:v>
                </c:pt>
                <c:pt idx="59">
                  <c:v>30</c:v>
                </c:pt>
                <c:pt idx="60">
                  <c:v>0</c:v>
                </c:pt>
              </c:numCache>
            </c:numRef>
          </c:xVal>
          <c:yVal>
            <c:numRef>
              <c:f>[2]DataF4.10!$D$10:$D$70</c:f>
              <c:numCache>
                <c:formatCode>General</c:formatCode>
                <c:ptCount val="61"/>
                <c:pt idx="0">
                  <c:v>503.33400584191179</c:v>
                </c:pt>
                <c:pt idx="1">
                  <c:v>474.3058891809867</c:v>
                </c:pt>
                <c:pt idx="2">
                  <c:v>434.07977092534918</c:v>
                </c:pt>
                <c:pt idx="3">
                  <c:v>512.86074607476155</c:v>
                </c:pt>
                <c:pt idx="4">
                  <c:v>531.38850878848496</c:v>
                </c:pt>
                <c:pt idx="5">
                  <c:v>542.21138750834598</c:v>
                </c:pt>
                <c:pt idx="6">
                  <c:v>411.78842807303761</c:v>
                </c:pt>
                <c:pt idx="7">
                  <c:v>473.37796390788793</c:v>
                </c:pt>
                <c:pt idx="8">
                  <c:v>532.473546333954</c:v>
                </c:pt>
                <c:pt idx="10">
                  <c:v>421.01146938619155</c:v>
                </c:pt>
                <c:pt idx="11">
                  <c:v>382.33393680595879</c:v>
                </c:pt>
                <c:pt idx="12">
                  <c:v>531.39180407550066</c:v>
                </c:pt>
                <c:pt idx="13">
                  <c:v>428.13388476090512</c:v>
                </c:pt>
                <c:pt idx="14">
                  <c:v>438.17744477339028</c:v>
                </c:pt>
                <c:pt idx="15">
                  <c:v>393.48101815895353</c:v>
                </c:pt>
                <c:pt idx="16">
                  <c:v>488.42452240329317</c:v>
                </c:pt>
                <c:pt idx="17">
                  <c:v>390.33157073822071</c:v>
                </c:pt>
                <c:pt idx="18">
                  <c:v>418.38637258396648</c:v>
                </c:pt>
                <c:pt idx="19">
                  <c:v>391.24390180976741</c:v>
                </c:pt>
                <c:pt idx="20">
                  <c:v>479.4704174310134</c:v>
                </c:pt>
                <c:pt idx="21">
                  <c:v>522.16103403227908</c:v>
                </c:pt>
                <c:pt idx="22">
                  <c:v>510.3634836232149</c:v>
                </c:pt>
                <c:pt idx="23">
                  <c:v>487.95669840774809</c:v>
                </c:pt>
                <c:pt idx="24">
                  <c:v>510.83715413471145</c:v>
                </c:pt>
                <c:pt idx="25">
                  <c:v>534.46977729238301</c:v>
                </c:pt>
                <c:pt idx="26">
                  <c:v>489.54377748050467</c:v>
                </c:pt>
                <c:pt idx="27">
                  <c:v>530.38436078015798</c:v>
                </c:pt>
                <c:pt idx="28">
                  <c:v>409.65195183801347</c:v>
                </c:pt>
                <c:pt idx="29">
                  <c:v>421.97182495518638</c:v>
                </c:pt>
                <c:pt idx="30">
                  <c:v>493.20439179077681</c:v>
                </c:pt>
                <c:pt idx="31">
                  <c:v>508.32893003224444</c:v>
                </c:pt>
                <c:pt idx="32">
                  <c:v>388.03827190917906</c:v>
                </c:pt>
                <c:pt idx="33">
                  <c:v>514.77354783956582</c:v>
                </c:pt>
                <c:pt idx="34">
                  <c:v>526.87958855791794</c:v>
                </c:pt>
                <c:pt idx="35">
                  <c:v>488.906836775351</c:v>
                </c:pt>
                <c:pt idx="36">
                  <c:v>563.32283387827954</c:v>
                </c:pt>
                <c:pt idx="37">
                  <c:v>490.79377407194772</c:v>
                </c:pt>
                <c:pt idx="38">
                  <c:v>385.50671388698049</c:v>
                </c:pt>
                <c:pt idx="39">
                  <c:v>453.903708229828</c:v>
                </c:pt>
                <c:pt idx="40">
                  <c:v>322.03158133572936</c:v>
                </c:pt>
                <c:pt idx="41">
                  <c:v>486.52795716704929</c:v>
                </c:pt>
                <c:pt idx="42">
                  <c:v>518.81560952189761</c:v>
                </c:pt>
                <c:pt idx="43">
                  <c:v>503.93172871580276</c:v>
                </c:pt>
                <c:pt idx="44">
                  <c:v>510.83972238186709</c:v>
                </c:pt>
                <c:pt idx="45">
                  <c:v>497.80650214655424</c:v>
                </c:pt>
                <c:pt idx="46">
                  <c:v>423.83274507396419</c:v>
                </c:pt>
                <c:pt idx="47">
                  <c:v>524.86150572781446</c:v>
                </c:pt>
                <c:pt idx="48">
                  <c:v>435.63634448073645</c:v>
                </c:pt>
                <c:pt idx="49">
                  <c:v>475.39722060224</c:v>
                </c:pt>
                <c:pt idx="50">
                  <c:v>486.32436260449327</c:v>
                </c:pt>
                <c:pt idx="51">
                  <c:v>495.89430996721217</c:v>
                </c:pt>
                <c:pt idx="52">
                  <c:v>488.43339822300607</c:v>
                </c:pt>
                <c:pt idx="53">
                  <c:v>522.14814075448646</c:v>
                </c:pt>
                <c:pt idx="54">
                  <c:v>495.21983863805633</c:v>
                </c:pt>
                <c:pt idx="55">
                  <c:v>511.52390977054228</c:v>
                </c:pt>
                <c:pt idx="56">
                  <c:v>515.64913003029028</c:v>
                </c:pt>
                <c:pt idx="57">
                  <c:v>300</c:v>
                </c:pt>
                <c:pt idx="58">
                  <c:v>600</c:v>
                </c:pt>
                <c:pt idx="59">
                  <c:v>500</c:v>
                </c:pt>
                <c:pt idx="60">
                  <c:v>500</c:v>
                </c:pt>
              </c:numCache>
            </c:numRef>
          </c:yVal>
        </c:ser>
        <c:axId val="84599168"/>
        <c:axId val="84600704"/>
      </c:scatterChart>
      <c:valAx>
        <c:axId val="84599168"/>
        <c:scaling>
          <c:orientation val="maxMin"/>
          <c:max val="30"/>
          <c:min val="0"/>
        </c:scaling>
        <c:axPos val="b"/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 pitchFamily="34" charset="0"/>
                <a:ea typeface="Arial"/>
                <a:cs typeface="Arial"/>
              </a:defRPr>
            </a:pPr>
            <a:endParaRPr lang="pt-PT"/>
          </a:p>
        </c:txPr>
        <c:crossAx val="84600704"/>
        <c:crosses val="autoZero"/>
        <c:crossBetween val="midCat"/>
        <c:majorUnit val="10"/>
        <c:minorUnit val="5"/>
      </c:valAx>
      <c:valAx>
        <c:axId val="84600704"/>
        <c:scaling>
          <c:orientation val="minMax"/>
          <c:max val="600"/>
          <c:min val="300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 pitchFamily="34" charset="0"/>
                <a:ea typeface="Arial"/>
                <a:cs typeface="Arial"/>
              </a:defRPr>
            </a:pPr>
            <a:endParaRPr lang="pt-PT"/>
          </a:p>
        </c:txPr>
        <c:crossAx val="84599168"/>
        <c:crosses val="max"/>
        <c:crossBetween val="midCat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167" r="0.75000000000000167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png"/><Relationship Id="rId1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285750</xdr:colOff>
      <xdr:row>5</xdr:row>
      <xdr:rowOff>38100</xdr:rowOff>
    </xdr:to>
    <xdr:pic>
      <xdr:nvPicPr>
        <xdr:cNvPr id="2" name="Imagem 1" descr="Logo CNE_co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0"/>
          <a:ext cx="952500" cy="990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4</xdr:row>
      <xdr:rowOff>0</xdr:rowOff>
    </xdr:from>
    <xdr:to>
      <xdr:col>16</xdr:col>
      <xdr:colOff>307864</xdr:colOff>
      <xdr:row>21</xdr:row>
      <xdr:rowOff>90204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550" y="762000"/>
          <a:ext cx="4584589" cy="33287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171450</xdr:rowOff>
    </xdr:from>
    <xdr:to>
      <xdr:col>19</xdr:col>
      <xdr:colOff>140801</xdr:colOff>
      <xdr:row>25</xdr:row>
      <xdr:rowOff>107426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2075" y="933450"/>
          <a:ext cx="6846401" cy="42127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11</xdr:row>
      <xdr:rowOff>76200</xdr:rowOff>
    </xdr:from>
    <xdr:to>
      <xdr:col>17</xdr:col>
      <xdr:colOff>563158</xdr:colOff>
      <xdr:row>30</xdr:row>
      <xdr:rowOff>121848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24625" y="2066925"/>
          <a:ext cx="4858933" cy="35603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4</xdr:row>
      <xdr:rowOff>123825</xdr:rowOff>
    </xdr:from>
    <xdr:to>
      <xdr:col>19</xdr:col>
      <xdr:colOff>94644</xdr:colOff>
      <xdr:row>20</xdr:row>
      <xdr:rowOff>65045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34100" y="885825"/>
          <a:ext cx="6200169" cy="31701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352425</xdr:colOff>
      <xdr:row>14</xdr:row>
      <xdr:rowOff>171450</xdr:rowOff>
    </xdr:from>
    <xdr:to>
      <xdr:col>40</xdr:col>
      <xdr:colOff>522988</xdr:colOff>
      <xdr:row>33</xdr:row>
      <xdr:rowOff>130999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25675" y="2838450"/>
          <a:ext cx="7352413" cy="36457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6</xdr:row>
      <xdr:rowOff>200025</xdr:rowOff>
    </xdr:from>
    <xdr:to>
      <xdr:col>24</xdr:col>
      <xdr:colOff>448951</xdr:colOff>
      <xdr:row>22</xdr:row>
      <xdr:rowOff>42953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29650" y="1409700"/>
          <a:ext cx="5925826" cy="32433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3</xdr:row>
      <xdr:rowOff>180975</xdr:rowOff>
    </xdr:from>
    <xdr:to>
      <xdr:col>21</xdr:col>
      <xdr:colOff>213041</xdr:colOff>
      <xdr:row>22</xdr:row>
      <xdr:rowOff>66979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77025" y="752475"/>
          <a:ext cx="5108891" cy="350550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314325</xdr:rowOff>
    </xdr:from>
    <xdr:to>
      <xdr:col>25</xdr:col>
      <xdr:colOff>287277</xdr:colOff>
      <xdr:row>22</xdr:row>
      <xdr:rowOff>31173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77050" y="1076325"/>
          <a:ext cx="8821677" cy="3603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6</xdr:row>
      <xdr:rowOff>152400</xdr:rowOff>
    </xdr:from>
    <xdr:to>
      <xdr:col>21</xdr:col>
      <xdr:colOff>186198</xdr:colOff>
      <xdr:row>24</xdr:row>
      <xdr:rowOff>143552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48325" y="1295400"/>
          <a:ext cx="7510923" cy="34201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600075</xdr:colOff>
      <xdr:row>4</xdr:row>
      <xdr:rowOff>28575</xdr:rowOff>
    </xdr:from>
    <xdr:to>
      <xdr:col>23</xdr:col>
      <xdr:colOff>356637</xdr:colOff>
      <xdr:row>19</xdr:row>
      <xdr:rowOff>158374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1250" y="790575"/>
          <a:ext cx="4633362" cy="2987299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22</xdr:row>
      <xdr:rowOff>104775</xdr:rowOff>
    </xdr:from>
    <xdr:to>
      <xdr:col>23</xdr:col>
      <xdr:colOff>326914</xdr:colOff>
      <xdr:row>38</xdr:row>
      <xdr:rowOff>50170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20300" y="4295775"/>
          <a:ext cx="4584589" cy="2993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600075</xdr:colOff>
      <xdr:row>3</xdr:row>
      <xdr:rowOff>114300</xdr:rowOff>
    </xdr:from>
    <xdr:to>
      <xdr:col>20</xdr:col>
      <xdr:colOff>179996</xdr:colOff>
      <xdr:row>22</xdr:row>
      <xdr:rowOff>73862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05400" y="685800"/>
          <a:ext cx="6285521" cy="3798137"/>
        </a:xfrm>
        <a:prstGeom prst="rect">
          <a:avLst/>
        </a:prstGeom>
      </xdr:spPr>
    </xdr:pic>
    <xdr:clientData/>
  </xdr:twoCellAnchor>
  <xdr:twoCellAnchor editAs="oneCell">
    <xdr:from>
      <xdr:col>9</xdr:col>
      <xdr:colOff>561975</xdr:colOff>
      <xdr:row>24</xdr:row>
      <xdr:rowOff>152400</xdr:rowOff>
    </xdr:from>
    <xdr:to>
      <xdr:col>20</xdr:col>
      <xdr:colOff>147992</xdr:colOff>
      <xdr:row>43</xdr:row>
      <xdr:rowOff>118059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67300" y="4943475"/>
          <a:ext cx="6291617" cy="38042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5</xdr:row>
      <xdr:rowOff>47625</xdr:rowOff>
    </xdr:from>
    <xdr:to>
      <xdr:col>21</xdr:col>
      <xdr:colOff>511595</xdr:colOff>
      <xdr:row>22</xdr:row>
      <xdr:rowOff>57841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19725" y="1019175"/>
          <a:ext cx="7779170" cy="357256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5</xdr:row>
      <xdr:rowOff>76200</xdr:rowOff>
    </xdr:from>
    <xdr:to>
      <xdr:col>20</xdr:col>
      <xdr:colOff>2542</xdr:colOff>
      <xdr:row>23</xdr:row>
      <xdr:rowOff>163776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25" y="1123950"/>
          <a:ext cx="7346317" cy="37737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5</xdr:row>
      <xdr:rowOff>19050</xdr:rowOff>
    </xdr:from>
    <xdr:to>
      <xdr:col>13</xdr:col>
      <xdr:colOff>450753</xdr:colOff>
      <xdr:row>20</xdr:row>
      <xdr:rowOff>126731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00600" y="971550"/>
          <a:ext cx="4737003" cy="2755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581025</xdr:colOff>
      <xdr:row>4</xdr:row>
      <xdr:rowOff>161925</xdr:rowOff>
    </xdr:from>
    <xdr:to>
      <xdr:col>29</xdr:col>
      <xdr:colOff>484115</xdr:colOff>
      <xdr:row>19</xdr:row>
      <xdr:rowOff>94741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58425" y="923925"/>
          <a:ext cx="7218290" cy="291414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552450</xdr:colOff>
      <xdr:row>4</xdr:row>
      <xdr:rowOff>152400</xdr:rowOff>
    </xdr:from>
    <xdr:to>
      <xdr:col>29</xdr:col>
      <xdr:colOff>571374</xdr:colOff>
      <xdr:row>20</xdr:row>
      <xdr:rowOff>129812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29850" y="914400"/>
          <a:ext cx="7334124" cy="313971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5</xdr:row>
      <xdr:rowOff>9525</xdr:rowOff>
    </xdr:from>
    <xdr:to>
      <xdr:col>30</xdr:col>
      <xdr:colOff>143535</xdr:colOff>
      <xdr:row>21</xdr:row>
      <xdr:rowOff>137443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962025"/>
          <a:ext cx="7620660" cy="32616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542925</xdr:colOff>
      <xdr:row>4</xdr:row>
      <xdr:rowOff>142875</xdr:rowOff>
    </xdr:from>
    <xdr:to>
      <xdr:col>22</xdr:col>
      <xdr:colOff>43538</xdr:colOff>
      <xdr:row>20</xdr:row>
      <xdr:rowOff>91712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2325" y="904875"/>
          <a:ext cx="5596613" cy="313971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542925</xdr:colOff>
      <xdr:row>4</xdr:row>
      <xdr:rowOff>123825</xdr:rowOff>
    </xdr:from>
    <xdr:to>
      <xdr:col>21</xdr:col>
      <xdr:colOff>549497</xdr:colOff>
      <xdr:row>20</xdr:row>
      <xdr:rowOff>54373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62800" y="885825"/>
          <a:ext cx="5492972" cy="31214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533400</xdr:colOff>
      <xdr:row>4</xdr:row>
      <xdr:rowOff>161925</xdr:rowOff>
    </xdr:from>
    <xdr:to>
      <xdr:col>22</xdr:col>
      <xdr:colOff>40110</xdr:colOff>
      <xdr:row>20</xdr:row>
      <xdr:rowOff>33788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62800" y="923925"/>
          <a:ext cx="5602710" cy="30055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4</xdr:row>
      <xdr:rowOff>161925</xdr:rowOff>
    </xdr:from>
    <xdr:to>
      <xdr:col>21</xdr:col>
      <xdr:colOff>458436</xdr:colOff>
      <xdr:row>21</xdr:row>
      <xdr:rowOff>13991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05650" y="923925"/>
          <a:ext cx="5468586" cy="3176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4</xdr:row>
      <xdr:rowOff>76200</xdr:rowOff>
    </xdr:from>
    <xdr:to>
      <xdr:col>24</xdr:col>
      <xdr:colOff>52835</xdr:colOff>
      <xdr:row>26</xdr:row>
      <xdr:rowOff>183253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838200"/>
          <a:ext cx="7358510" cy="429805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</xdr:colOff>
      <xdr:row>4</xdr:row>
      <xdr:rowOff>171450</xdr:rowOff>
    </xdr:from>
    <xdr:to>
      <xdr:col>22</xdr:col>
      <xdr:colOff>540399</xdr:colOff>
      <xdr:row>19</xdr:row>
      <xdr:rowOff>174756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48525" y="933450"/>
          <a:ext cx="6017274" cy="297510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9525</xdr:rowOff>
    </xdr:from>
    <xdr:to>
      <xdr:col>23</xdr:col>
      <xdr:colOff>220003</xdr:colOff>
      <xdr:row>21</xdr:row>
      <xdr:rowOff>127157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77200" y="962025"/>
          <a:ext cx="6316003" cy="32799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</xdr:colOff>
      <xdr:row>4</xdr:row>
      <xdr:rowOff>180975</xdr:rowOff>
    </xdr:from>
    <xdr:to>
      <xdr:col>25</xdr:col>
      <xdr:colOff>583180</xdr:colOff>
      <xdr:row>26</xdr:row>
      <xdr:rowOff>59014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05950" y="942975"/>
          <a:ext cx="7279255" cy="392616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600075</xdr:colOff>
      <xdr:row>5</xdr:row>
      <xdr:rowOff>0</xdr:rowOff>
    </xdr:from>
    <xdr:to>
      <xdr:col>25</xdr:col>
      <xdr:colOff>594613</xdr:colOff>
      <xdr:row>24</xdr:row>
      <xdr:rowOff>26624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6900" y="952500"/>
          <a:ext cx="7309738" cy="38651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5</xdr:row>
      <xdr:rowOff>19050</xdr:rowOff>
    </xdr:from>
    <xdr:to>
      <xdr:col>19</xdr:col>
      <xdr:colOff>154902</xdr:colOff>
      <xdr:row>20</xdr:row>
      <xdr:rowOff>216324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91125" y="971550"/>
          <a:ext cx="6889077" cy="342624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171450</xdr:rowOff>
    </xdr:from>
    <xdr:to>
      <xdr:col>19</xdr:col>
      <xdr:colOff>491732</xdr:colOff>
      <xdr:row>20</xdr:row>
      <xdr:rowOff>196914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0" y="933450"/>
          <a:ext cx="7187807" cy="366401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9525</xdr:rowOff>
    </xdr:from>
    <xdr:to>
      <xdr:col>5</xdr:col>
      <xdr:colOff>0</xdr:colOff>
      <xdr:row>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657225"/>
          <a:ext cx="1685925" cy="4572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19</xdr:col>
      <xdr:colOff>571500</xdr:colOff>
      <xdr:row>5</xdr:row>
      <xdr:rowOff>19050</xdr:rowOff>
    </xdr:from>
    <xdr:to>
      <xdr:col>29</xdr:col>
      <xdr:colOff>608608</xdr:colOff>
      <xdr:row>21</xdr:row>
      <xdr:rowOff>119180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20550" y="971550"/>
          <a:ext cx="6133108" cy="354818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600075</xdr:colOff>
      <xdr:row>23</xdr:row>
      <xdr:rowOff>171450</xdr:rowOff>
    </xdr:from>
    <xdr:to>
      <xdr:col>31</xdr:col>
      <xdr:colOff>192294</xdr:colOff>
      <xdr:row>42</xdr:row>
      <xdr:rowOff>174061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82350" y="4286250"/>
          <a:ext cx="7517019" cy="37554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11</xdr:col>
      <xdr:colOff>381000</xdr:colOff>
      <xdr:row>39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762000"/>
          <a:ext cx="5867400" cy="676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581025</xdr:colOff>
      <xdr:row>4</xdr:row>
      <xdr:rowOff>161925</xdr:rowOff>
    </xdr:from>
    <xdr:to>
      <xdr:col>22</xdr:col>
      <xdr:colOff>258437</xdr:colOff>
      <xdr:row>23</xdr:row>
      <xdr:rowOff>34975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81975" y="923925"/>
          <a:ext cx="5773412" cy="351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7</xdr:row>
      <xdr:rowOff>28575</xdr:rowOff>
    </xdr:from>
    <xdr:to>
      <xdr:col>21</xdr:col>
      <xdr:colOff>371551</xdr:colOff>
      <xdr:row>23</xdr:row>
      <xdr:rowOff>120287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6375" y="1362075"/>
          <a:ext cx="5267401" cy="313971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4</xdr:row>
      <xdr:rowOff>180975</xdr:rowOff>
    </xdr:from>
    <xdr:to>
      <xdr:col>26</xdr:col>
      <xdr:colOff>41630</xdr:colOff>
      <xdr:row>24</xdr:row>
      <xdr:rowOff>42993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10850" y="942975"/>
          <a:ext cx="5566130" cy="37005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4</xdr:row>
      <xdr:rowOff>152400</xdr:rowOff>
    </xdr:from>
    <xdr:to>
      <xdr:col>18</xdr:col>
      <xdr:colOff>130410</xdr:colOff>
      <xdr:row>24</xdr:row>
      <xdr:rowOff>34215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3050" y="914400"/>
          <a:ext cx="5645385" cy="352989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4</xdr:row>
      <xdr:rowOff>180975</xdr:rowOff>
    </xdr:from>
    <xdr:to>
      <xdr:col>17</xdr:col>
      <xdr:colOff>530060</xdr:colOff>
      <xdr:row>25</xdr:row>
      <xdr:rowOff>158827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0" y="942975"/>
          <a:ext cx="5425910" cy="381642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4</xdr:row>
      <xdr:rowOff>180975</xdr:rowOff>
    </xdr:from>
    <xdr:to>
      <xdr:col>21</xdr:col>
      <xdr:colOff>42497</xdr:colOff>
      <xdr:row>20</xdr:row>
      <xdr:rowOff>108120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43600" y="942975"/>
          <a:ext cx="6767147" cy="343234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4</xdr:row>
      <xdr:rowOff>180975</xdr:rowOff>
    </xdr:from>
    <xdr:to>
      <xdr:col>20</xdr:col>
      <xdr:colOff>269162</xdr:colOff>
      <xdr:row>20</xdr:row>
      <xdr:rowOff>51731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5975" y="942975"/>
          <a:ext cx="6431837" cy="341405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5</xdr:row>
      <xdr:rowOff>0</xdr:rowOff>
    </xdr:from>
    <xdr:to>
      <xdr:col>27</xdr:col>
      <xdr:colOff>333169</xdr:colOff>
      <xdr:row>23</xdr:row>
      <xdr:rowOff>117672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34375" y="952500"/>
          <a:ext cx="6419644" cy="373717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5</xdr:row>
      <xdr:rowOff>9525</xdr:rowOff>
    </xdr:from>
    <xdr:to>
      <xdr:col>27</xdr:col>
      <xdr:colOff>174286</xdr:colOff>
      <xdr:row>24</xdr:row>
      <xdr:rowOff>89110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8650" y="962025"/>
          <a:ext cx="6346486" cy="388958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180975</xdr:rowOff>
    </xdr:from>
    <xdr:to>
      <xdr:col>19</xdr:col>
      <xdr:colOff>372469</xdr:colOff>
      <xdr:row>22</xdr:row>
      <xdr:rowOff>164897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5" y="942975"/>
          <a:ext cx="7078069" cy="351769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4</xdr:row>
      <xdr:rowOff>180975</xdr:rowOff>
    </xdr:from>
    <xdr:to>
      <xdr:col>15</xdr:col>
      <xdr:colOff>542253</xdr:colOff>
      <xdr:row>23</xdr:row>
      <xdr:rowOff>22048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6725" y="942975"/>
          <a:ext cx="5438103" cy="382252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4</xdr:row>
      <xdr:rowOff>114300</xdr:rowOff>
    </xdr:from>
    <xdr:to>
      <xdr:col>16</xdr:col>
      <xdr:colOff>39723</xdr:colOff>
      <xdr:row>22</xdr:row>
      <xdr:rowOff>52104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0" y="876300"/>
          <a:ext cx="5535648" cy="33287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7</xdr:row>
      <xdr:rowOff>19050</xdr:rowOff>
    </xdr:from>
    <xdr:to>
      <xdr:col>19</xdr:col>
      <xdr:colOff>34879</xdr:colOff>
      <xdr:row>27</xdr:row>
      <xdr:rowOff>55959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0" y="1352550"/>
          <a:ext cx="6797629" cy="384690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5</xdr:row>
      <xdr:rowOff>9525</xdr:rowOff>
    </xdr:from>
    <xdr:to>
      <xdr:col>15</xdr:col>
      <xdr:colOff>381076</xdr:colOff>
      <xdr:row>21</xdr:row>
      <xdr:rowOff>125636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0" y="962025"/>
          <a:ext cx="5267401" cy="331651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47625</xdr:colOff>
      <xdr:row>6</xdr:row>
      <xdr:rowOff>0</xdr:rowOff>
    </xdr:from>
    <xdr:to>
      <xdr:col>29</xdr:col>
      <xdr:colOff>9525</xdr:colOff>
      <xdr:row>36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685800</xdr:colOff>
      <xdr:row>5</xdr:row>
      <xdr:rowOff>142875</xdr:rowOff>
    </xdr:from>
    <xdr:to>
      <xdr:col>16</xdr:col>
      <xdr:colOff>790575</xdr:colOff>
      <xdr:row>5</xdr:row>
      <xdr:rowOff>257175</xdr:rowOff>
    </xdr:to>
    <xdr:sp macro="" textlink="">
      <xdr:nvSpPr>
        <xdr:cNvPr id="4" name="AutoShape 2"/>
        <xdr:cNvSpPr>
          <a:spLocks noChangeArrowheads="1"/>
        </xdr:cNvSpPr>
      </xdr:nvSpPr>
      <xdr:spPr bwMode="auto">
        <a:xfrm>
          <a:off x="1628775" y="790575"/>
          <a:ext cx="104775" cy="114300"/>
        </a:xfrm>
        <a:prstGeom prst="diamond">
          <a:avLst/>
        </a:prstGeom>
        <a:solidFill>
          <a:srgbClr val="00008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323850</xdr:colOff>
      <xdr:row>5</xdr:row>
      <xdr:rowOff>161925</xdr:rowOff>
    </xdr:from>
    <xdr:to>
      <xdr:col>20</xdr:col>
      <xdr:colOff>428625</xdr:colOff>
      <xdr:row>5</xdr:row>
      <xdr:rowOff>276225</xdr:rowOff>
    </xdr:to>
    <xdr:sp macro="" textlink="">
      <xdr:nvSpPr>
        <xdr:cNvPr id="5" name="AutoShape 3"/>
        <xdr:cNvSpPr>
          <a:spLocks noChangeArrowheads="1"/>
        </xdr:cNvSpPr>
      </xdr:nvSpPr>
      <xdr:spPr bwMode="auto">
        <a:xfrm>
          <a:off x="4038600" y="809625"/>
          <a:ext cx="104775" cy="114300"/>
        </a:xfrm>
        <a:prstGeom prst="diamond">
          <a:avLst/>
        </a:prstGeom>
        <a:solidFill>
          <a:srgbClr val="BFBFB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323850</xdr:colOff>
      <xdr:row>5</xdr:row>
      <xdr:rowOff>161925</xdr:rowOff>
    </xdr:from>
    <xdr:to>
      <xdr:col>24</xdr:col>
      <xdr:colOff>428625</xdr:colOff>
      <xdr:row>5</xdr:row>
      <xdr:rowOff>276225</xdr:rowOff>
    </xdr:to>
    <xdr:sp macro="" textlink="">
      <xdr:nvSpPr>
        <xdr:cNvPr id="6" name="AutoShape 4"/>
        <xdr:cNvSpPr>
          <a:spLocks noChangeArrowheads="1"/>
        </xdr:cNvSpPr>
      </xdr:nvSpPr>
      <xdr:spPr bwMode="auto">
        <a:xfrm>
          <a:off x="6477000" y="809625"/>
          <a:ext cx="104775" cy="114300"/>
        </a:xfrm>
        <a:prstGeom prst="diamond">
          <a:avLst/>
        </a:prstGeom>
        <a:solidFill>
          <a:srgbClr val="00CC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16</xdr:col>
      <xdr:colOff>238125</xdr:colOff>
      <xdr:row>5</xdr:row>
      <xdr:rowOff>161925</xdr:rowOff>
    </xdr:from>
    <xdr:to>
      <xdr:col>16</xdr:col>
      <xdr:colOff>342900</xdr:colOff>
      <xdr:row>5</xdr:row>
      <xdr:rowOff>276225</xdr:rowOff>
    </xdr:to>
    <xdr:sp macro="" textlink="">
      <xdr:nvSpPr>
        <xdr:cNvPr id="7" name="AutoShape 2"/>
        <xdr:cNvSpPr>
          <a:spLocks noChangeArrowheads="1"/>
        </xdr:cNvSpPr>
      </xdr:nvSpPr>
      <xdr:spPr bwMode="auto">
        <a:xfrm>
          <a:off x="9305925" y="1114425"/>
          <a:ext cx="104775" cy="114300"/>
        </a:xfrm>
        <a:prstGeom prst="diamond">
          <a:avLst/>
        </a:prstGeom>
        <a:solidFill>
          <a:srgbClr val="00008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0.53916</cdr:x>
      <cdr:y>0.86112</cdr:y>
    </cdr:from>
    <cdr:to>
      <cdr:x>0.96717</cdr:x>
      <cdr:y>0.92678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0886" y="4822875"/>
          <a:ext cx="3636501" cy="367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Below-average level of student performance in science</a:t>
          </a:r>
        </a:p>
        <a:p xmlns:a="http://schemas.openxmlformats.org/drawingml/2006/main">
          <a:pPr algn="r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Below-average impact of socio-economic background</a:t>
          </a:r>
        </a:p>
      </cdr:txBody>
    </cdr:sp>
  </cdr:relSizeAnchor>
  <cdr:relSizeAnchor xmlns:cdr="http://schemas.openxmlformats.org/drawingml/2006/chartDrawing">
    <cdr:from>
      <cdr:x>0.05682</cdr:x>
      <cdr:y>0.86282</cdr:y>
    </cdr:from>
    <cdr:to>
      <cdr:x>0.41977</cdr:x>
      <cdr:y>0.92848</cdr:y>
    </cdr:to>
    <cdr:sp macro="" textlink="">
      <cdr:nvSpPr>
        <cdr:cNvPr id="3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2753" y="4832400"/>
          <a:ext cx="3083732" cy="367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Below-average level of student performance in science</a:t>
          </a:r>
        </a:p>
        <a:p xmlns:a="http://schemas.openxmlformats.org/drawingml/2006/main">
          <a:pPr algn="l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Above-average impact of socio-economic background</a:t>
          </a:r>
        </a:p>
      </cdr:txBody>
    </cdr:sp>
  </cdr:relSizeAnchor>
  <cdr:relSizeAnchor xmlns:cdr="http://schemas.openxmlformats.org/drawingml/2006/chartDrawing">
    <cdr:from>
      <cdr:x>0.05399</cdr:x>
      <cdr:y>0.04744</cdr:y>
    </cdr:from>
    <cdr:to>
      <cdr:x>0.38651</cdr:x>
      <cdr:y>0.11905</cdr:y>
    </cdr:to>
    <cdr:sp macro="" textlink="">
      <cdr:nvSpPr>
        <cdr:cNvPr id="30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676" y="265721"/>
          <a:ext cx="2825190" cy="4010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Above-average level of student performance in science</a:t>
          </a:r>
        </a:p>
        <a:p xmlns:a="http://schemas.openxmlformats.org/drawingml/2006/main">
          <a:pPr algn="l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Above-average impact of socio-economic background</a:t>
          </a:r>
        </a:p>
      </cdr:txBody>
    </cdr:sp>
  </cdr:relSizeAnchor>
  <cdr:relSizeAnchor xmlns:cdr="http://schemas.openxmlformats.org/drawingml/2006/chartDrawing">
    <cdr:from>
      <cdr:x>0.56061</cdr:x>
      <cdr:y>0.05063</cdr:y>
    </cdr:from>
    <cdr:to>
      <cdr:x>0.96586</cdr:x>
      <cdr:y>0.11581</cdr:y>
    </cdr:to>
    <cdr:sp macro="" textlink="">
      <cdr:nvSpPr>
        <cdr:cNvPr id="239002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45449" y="245281"/>
          <a:ext cx="3717164" cy="311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Above-average level of student performance in science</a:t>
          </a:r>
        </a:p>
        <a:p xmlns:a="http://schemas.openxmlformats.org/drawingml/2006/main">
          <a:pPr algn="r" rtl="1">
            <a:defRPr sz="1000"/>
          </a:pPr>
          <a:r>
            <a:rPr lang="en-US" sz="800" b="0" i="1" strike="noStrike">
              <a:solidFill>
                <a:srgbClr val="000000"/>
              </a:solidFill>
              <a:latin typeface="Calibri" pitchFamily="34" charset="0"/>
              <a:cs typeface="Arial"/>
            </a:rPr>
            <a:t>Below-average impact of socio-economic background</a:t>
          </a:r>
        </a:p>
      </cdr:txBody>
    </cdr:sp>
  </cdr:relSizeAnchor>
  <cdr:relSizeAnchor xmlns:cdr="http://schemas.openxmlformats.org/drawingml/2006/chartDrawing">
    <cdr:from>
      <cdr:x>0.47619</cdr:x>
      <cdr:y>0.92794</cdr:y>
    </cdr:from>
    <cdr:to>
      <cdr:x>0.57886</cdr:x>
      <cdr:y>0.95979</cdr:y>
    </cdr:to>
    <cdr:sp macro="" textlink="">
      <cdr:nvSpPr>
        <cdr:cNvPr id="3078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45865" y="5197088"/>
          <a:ext cx="872315" cy="1783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800" b="0" i="0" strike="noStrike">
              <a:solidFill>
                <a:srgbClr val="000080"/>
              </a:solidFill>
              <a:latin typeface="Calibri" pitchFamily="34" charset="0"/>
              <a:cs typeface="Arial"/>
            </a:rPr>
            <a:t>OECD mean</a:t>
          </a:r>
        </a:p>
        <a:p xmlns:a="http://schemas.openxmlformats.org/drawingml/2006/main">
          <a:pPr algn="ctr" rtl="1">
            <a:defRPr sz="1000"/>
          </a:pPr>
          <a:endParaRPr lang="en-US" sz="800" b="0" i="0" strike="noStrike">
            <a:solidFill>
              <a:srgbClr val="000080"/>
            </a:solidFill>
            <a:latin typeface="Calibri" pitchFamily="34" charset="0"/>
            <a:cs typeface="Arial"/>
          </a:endParaRPr>
        </a:p>
      </cdr:txBody>
    </cdr:sp>
  </cdr:relSizeAnchor>
  <cdr:relSizeAnchor xmlns:cdr="http://schemas.openxmlformats.org/drawingml/2006/chartDrawing">
    <cdr:from>
      <cdr:x>0.00519</cdr:x>
      <cdr:y>0.00996</cdr:y>
    </cdr:from>
    <cdr:to>
      <cdr:x>0.00519</cdr:x>
      <cdr:y>0.00996</cdr:y>
    </cdr:to>
    <cdr:sp macro="" textlink="[1]DataF4!#REF!">
      <cdr:nvSpPr>
        <cdr:cNvPr id="3079" name="wbgrtzqmh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endParaRPr lang="pt-PT"/>
        </a:p>
      </cdr:txBody>
    </cdr:sp>
  </cdr:relSizeAnchor>
  <cdr:relSizeAnchor xmlns:cdr="http://schemas.openxmlformats.org/drawingml/2006/chartDrawing">
    <cdr:from>
      <cdr:x>0.00519</cdr:x>
      <cdr:y>0.00996</cdr:y>
    </cdr:from>
    <cdr:to>
      <cdr:x>0.00519</cdr:x>
      <cdr:y>0.00996</cdr:y>
    </cdr:to>
    <cdr:sp macro="" textlink="[1]DataF4!#REF!">
      <cdr:nvSpPr>
        <cdr:cNvPr id="2390023" name="wbgrtzqmh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PT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61494</xdr:colOff>
      <xdr:row>17</xdr:row>
      <xdr:rowOff>158000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5975" y="762000"/>
          <a:ext cx="6157494" cy="30726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4</xdr:row>
      <xdr:rowOff>0</xdr:rowOff>
    </xdr:from>
    <xdr:to>
      <xdr:col>15</xdr:col>
      <xdr:colOff>404701</xdr:colOff>
      <xdr:row>17</xdr:row>
      <xdr:rowOff>5587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1525" y="762000"/>
          <a:ext cx="5310076" cy="292023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590550</xdr:colOff>
      <xdr:row>3</xdr:row>
      <xdr:rowOff>171450</xdr:rowOff>
    </xdr:from>
    <xdr:to>
      <xdr:col>19</xdr:col>
      <xdr:colOff>353261</xdr:colOff>
      <xdr:row>17</xdr:row>
      <xdr:rowOff>108107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50" y="742950"/>
          <a:ext cx="5249111" cy="327993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514350</xdr:colOff>
      <xdr:row>12</xdr:row>
      <xdr:rowOff>66675</xdr:rowOff>
    </xdr:from>
    <xdr:to>
      <xdr:col>30</xdr:col>
      <xdr:colOff>710820</xdr:colOff>
      <xdr:row>29</xdr:row>
      <xdr:rowOff>41045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39850" y="2352675"/>
          <a:ext cx="7340220" cy="321287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600075</xdr:colOff>
      <xdr:row>4</xdr:row>
      <xdr:rowOff>9525</xdr:rowOff>
    </xdr:from>
    <xdr:to>
      <xdr:col>31</xdr:col>
      <xdr:colOff>478778</xdr:colOff>
      <xdr:row>22</xdr:row>
      <xdr:rowOff>32681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25475" y="771525"/>
          <a:ext cx="7193903" cy="341405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4</xdr:row>
      <xdr:rowOff>28575</xdr:rowOff>
    </xdr:from>
    <xdr:to>
      <xdr:col>31</xdr:col>
      <xdr:colOff>458581</xdr:colOff>
      <xdr:row>24</xdr:row>
      <xdr:rowOff>59375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11200" y="790575"/>
          <a:ext cx="7145131" cy="36884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4</xdr:row>
      <xdr:rowOff>0</xdr:rowOff>
    </xdr:from>
    <xdr:to>
      <xdr:col>38</xdr:col>
      <xdr:colOff>525041</xdr:colOff>
      <xdr:row>26</xdr:row>
      <xdr:rowOff>184387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49650" y="762000"/>
          <a:ext cx="9059441" cy="41944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6</xdr:row>
      <xdr:rowOff>19050</xdr:rowOff>
    </xdr:from>
    <xdr:to>
      <xdr:col>26</xdr:col>
      <xdr:colOff>503872</xdr:colOff>
      <xdr:row>30</xdr:row>
      <xdr:rowOff>129210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20100" y="1162050"/>
          <a:ext cx="6590347" cy="498696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600075</xdr:colOff>
      <xdr:row>3</xdr:row>
      <xdr:rowOff>171450</xdr:rowOff>
    </xdr:from>
    <xdr:to>
      <xdr:col>29</xdr:col>
      <xdr:colOff>576270</xdr:colOff>
      <xdr:row>20</xdr:row>
      <xdr:rowOff>175582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92050" y="742950"/>
          <a:ext cx="6681795" cy="371888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4</xdr:row>
      <xdr:rowOff>0</xdr:rowOff>
    </xdr:from>
    <xdr:to>
      <xdr:col>32</xdr:col>
      <xdr:colOff>12827</xdr:colOff>
      <xdr:row>22</xdr:row>
      <xdr:rowOff>5653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82650" y="762000"/>
          <a:ext cx="7328027" cy="368230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590550</xdr:colOff>
      <xdr:row>3</xdr:row>
      <xdr:rowOff>161925</xdr:rowOff>
    </xdr:from>
    <xdr:to>
      <xdr:col>31</xdr:col>
      <xdr:colOff>597281</xdr:colOff>
      <xdr:row>22</xdr:row>
      <xdr:rowOff>80719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63600" y="733425"/>
          <a:ext cx="7321931" cy="378594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4</xdr:row>
      <xdr:rowOff>9525</xdr:rowOff>
    </xdr:from>
    <xdr:to>
      <xdr:col>18</xdr:col>
      <xdr:colOff>97312</xdr:colOff>
      <xdr:row>20</xdr:row>
      <xdr:rowOff>182039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0" y="771525"/>
          <a:ext cx="6212362" cy="348721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180975</xdr:rowOff>
    </xdr:from>
    <xdr:to>
      <xdr:col>20</xdr:col>
      <xdr:colOff>378513</xdr:colOff>
      <xdr:row>24</xdr:row>
      <xdr:rowOff>173341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50" y="752475"/>
          <a:ext cx="6474513" cy="423099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3</xdr:row>
      <xdr:rowOff>180975</xdr:rowOff>
    </xdr:from>
    <xdr:to>
      <xdr:col>20</xdr:col>
      <xdr:colOff>398763</xdr:colOff>
      <xdr:row>22</xdr:row>
      <xdr:rowOff>42219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8300" y="752475"/>
          <a:ext cx="7132938" cy="356646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9525</xdr:rowOff>
    </xdr:from>
    <xdr:to>
      <xdr:col>19</xdr:col>
      <xdr:colOff>119844</xdr:colOff>
      <xdr:row>23</xdr:row>
      <xdr:rowOff>12523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771525"/>
          <a:ext cx="6815919" cy="382252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171450</xdr:rowOff>
    </xdr:from>
    <xdr:to>
      <xdr:col>29</xdr:col>
      <xdr:colOff>159038</xdr:colOff>
      <xdr:row>21</xdr:row>
      <xdr:rowOff>52878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20625" y="742950"/>
          <a:ext cx="6255038" cy="3462828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9525</xdr:rowOff>
    </xdr:from>
    <xdr:to>
      <xdr:col>31</xdr:col>
      <xdr:colOff>116521</xdr:colOff>
      <xdr:row>22</xdr:row>
      <xdr:rowOff>155398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1750" y="771525"/>
          <a:ext cx="8041321" cy="382252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4</xdr:row>
      <xdr:rowOff>9525</xdr:rowOff>
    </xdr:from>
    <xdr:to>
      <xdr:col>29</xdr:col>
      <xdr:colOff>138133</xdr:colOff>
      <xdr:row>20</xdr:row>
      <xdr:rowOff>57054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96725" y="771525"/>
          <a:ext cx="6834208" cy="32860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171450</xdr:rowOff>
    </xdr:from>
    <xdr:to>
      <xdr:col>16</xdr:col>
      <xdr:colOff>146739</xdr:colOff>
      <xdr:row>18</xdr:row>
      <xdr:rowOff>64271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86575" y="552450"/>
          <a:ext cx="5023539" cy="30360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9525</xdr:rowOff>
    </xdr:from>
    <xdr:to>
      <xdr:col>3</xdr:col>
      <xdr:colOff>0</xdr:colOff>
      <xdr:row>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19125" y="8562975"/>
          <a:ext cx="1323975" cy="4286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14</xdr:col>
      <xdr:colOff>0</xdr:colOff>
      <xdr:row>3</xdr:row>
      <xdr:rowOff>180975</xdr:rowOff>
    </xdr:from>
    <xdr:to>
      <xdr:col>25</xdr:col>
      <xdr:colOff>415145</xdr:colOff>
      <xdr:row>23</xdr:row>
      <xdr:rowOff>71594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4625" y="752475"/>
          <a:ext cx="7120745" cy="400541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</xdr:row>
      <xdr:rowOff>9525</xdr:rowOff>
    </xdr:from>
    <xdr:to>
      <xdr:col>4</xdr:col>
      <xdr:colOff>0</xdr:colOff>
      <xdr:row>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19125" y="962025"/>
          <a:ext cx="1209675" cy="37147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17</xdr:col>
      <xdr:colOff>9525</xdr:colOff>
      <xdr:row>4</xdr:row>
      <xdr:rowOff>9525</xdr:rowOff>
    </xdr:from>
    <xdr:to>
      <xdr:col>29</xdr:col>
      <xdr:colOff>125993</xdr:colOff>
      <xdr:row>26</xdr:row>
      <xdr:rowOff>158506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39450" y="771525"/>
          <a:ext cx="7431668" cy="451143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</xdr:row>
      <xdr:rowOff>161925</xdr:rowOff>
    </xdr:from>
    <xdr:to>
      <xdr:col>17</xdr:col>
      <xdr:colOff>564837</xdr:colOff>
      <xdr:row>28</xdr:row>
      <xdr:rowOff>88389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8600" y="923925"/>
          <a:ext cx="6651312" cy="4365114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161925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143000"/>
          <a:ext cx="1304925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9</xdr:col>
      <xdr:colOff>9525</xdr:colOff>
      <xdr:row>4</xdr:row>
      <xdr:rowOff>247650</xdr:rowOff>
    </xdr:from>
    <xdr:to>
      <xdr:col>20</xdr:col>
      <xdr:colOff>101554</xdr:colOff>
      <xdr:row>21</xdr:row>
      <xdr:rowOff>33468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86575" y="1009650"/>
          <a:ext cx="6797629" cy="37005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161925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1143000"/>
          <a:ext cx="1295400" cy="48577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9</xdr:col>
      <xdr:colOff>9525</xdr:colOff>
      <xdr:row>4</xdr:row>
      <xdr:rowOff>171450</xdr:rowOff>
    </xdr:from>
    <xdr:to>
      <xdr:col>20</xdr:col>
      <xdr:colOff>430767</xdr:colOff>
      <xdr:row>22</xdr:row>
      <xdr:rowOff>154264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86575" y="933450"/>
          <a:ext cx="7126842" cy="3926164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19050</xdr:rowOff>
    </xdr:from>
    <xdr:to>
      <xdr:col>17</xdr:col>
      <xdr:colOff>207758</xdr:colOff>
      <xdr:row>22</xdr:row>
      <xdr:rowOff>52905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48200" y="1000125"/>
          <a:ext cx="5694158" cy="376765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4</xdr:row>
      <xdr:rowOff>180975</xdr:rowOff>
    </xdr:from>
    <xdr:to>
      <xdr:col>17</xdr:col>
      <xdr:colOff>356742</xdr:colOff>
      <xdr:row>21</xdr:row>
      <xdr:rowOff>68513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67275" y="942975"/>
          <a:ext cx="5852667" cy="362133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600075</xdr:colOff>
      <xdr:row>4</xdr:row>
      <xdr:rowOff>9525</xdr:rowOff>
    </xdr:from>
    <xdr:to>
      <xdr:col>26</xdr:col>
      <xdr:colOff>369041</xdr:colOff>
      <xdr:row>26</xdr:row>
      <xdr:rowOff>23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25125" y="771525"/>
          <a:ext cx="7084166" cy="465774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180975</xdr:rowOff>
    </xdr:from>
    <xdr:to>
      <xdr:col>21</xdr:col>
      <xdr:colOff>457768</xdr:colOff>
      <xdr:row>22</xdr:row>
      <xdr:rowOff>97101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53225" y="942975"/>
          <a:ext cx="6553768" cy="377375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590550</xdr:colOff>
      <xdr:row>5</xdr:row>
      <xdr:rowOff>9525</xdr:rowOff>
    </xdr:from>
    <xdr:to>
      <xdr:col>21</xdr:col>
      <xdr:colOff>60733</xdr:colOff>
      <xdr:row>23</xdr:row>
      <xdr:rowOff>71968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34175" y="962025"/>
          <a:ext cx="6175783" cy="39200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5</xdr:row>
      <xdr:rowOff>133350</xdr:rowOff>
    </xdr:from>
    <xdr:to>
      <xdr:col>23</xdr:col>
      <xdr:colOff>488158</xdr:colOff>
      <xdr:row>22</xdr:row>
      <xdr:rowOff>178650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085850"/>
          <a:ext cx="5517358" cy="39505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19050</xdr:rowOff>
    </xdr:from>
    <xdr:to>
      <xdr:col>30</xdr:col>
      <xdr:colOff>634</xdr:colOff>
      <xdr:row>15</xdr:row>
      <xdr:rowOff>228477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29900" y="790575"/>
          <a:ext cx="7315834" cy="29812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5</xdr:row>
      <xdr:rowOff>9525</xdr:rowOff>
    </xdr:from>
    <xdr:to>
      <xdr:col>13</xdr:col>
      <xdr:colOff>538772</xdr:colOff>
      <xdr:row>19</xdr:row>
      <xdr:rowOff>117619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48100" y="962025"/>
          <a:ext cx="4834547" cy="312751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5</xdr:row>
      <xdr:rowOff>19050</xdr:rowOff>
    </xdr:from>
    <xdr:to>
      <xdr:col>13</xdr:col>
      <xdr:colOff>607355</xdr:colOff>
      <xdr:row>20</xdr:row>
      <xdr:rowOff>40672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0425" y="971550"/>
          <a:ext cx="4865030" cy="329822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21</xdr:col>
      <xdr:colOff>24862</xdr:colOff>
      <xdr:row>22</xdr:row>
      <xdr:rowOff>144700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8550" y="990600"/>
          <a:ext cx="5511262" cy="346892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4</xdr:row>
      <xdr:rowOff>57149</xdr:rowOff>
    </xdr:from>
    <xdr:to>
      <xdr:col>11</xdr:col>
      <xdr:colOff>607219</xdr:colOff>
      <xdr:row>22</xdr:row>
      <xdr:rowOff>104774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819149"/>
          <a:ext cx="6084094" cy="3476625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7</xdr:row>
      <xdr:rowOff>0</xdr:rowOff>
    </xdr:from>
    <xdr:to>
      <xdr:col>18</xdr:col>
      <xdr:colOff>268068</xdr:colOff>
      <xdr:row>25</xdr:row>
      <xdr:rowOff>137469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86300" y="1866900"/>
          <a:ext cx="6992718" cy="356646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6</xdr:row>
      <xdr:rowOff>342900</xdr:rowOff>
    </xdr:from>
    <xdr:to>
      <xdr:col>17</xdr:col>
      <xdr:colOff>143469</xdr:colOff>
      <xdr:row>25</xdr:row>
      <xdr:rowOff>54786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62375" y="1666875"/>
          <a:ext cx="6858594" cy="349331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4</xdr:row>
      <xdr:rowOff>47625</xdr:rowOff>
    </xdr:from>
    <xdr:to>
      <xdr:col>12</xdr:col>
      <xdr:colOff>486145</xdr:colOff>
      <xdr:row>20</xdr:row>
      <xdr:rowOff>86789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3775" y="809625"/>
          <a:ext cx="4267570" cy="3487214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10</xdr:row>
      <xdr:rowOff>161925</xdr:rowOff>
    </xdr:from>
    <xdr:to>
      <xdr:col>16</xdr:col>
      <xdr:colOff>17992</xdr:colOff>
      <xdr:row>35</xdr:row>
      <xdr:rowOff>118138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91200" y="2066925"/>
          <a:ext cx="5371042" cy="471871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47625</xdr:rowOff>
    </xdr:from>
    <xdr:to>
      <xdr:col>12</xdr:col>
      <xdr:colOff>15456</xdr:colOff>
      <xdr:row>28</xdr:row>
      <xdr:rowOff>9525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0" y="2038350"/>
          <a:ext cx="6882981" cy="3390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400050</xdr:rowOff>
    </xdr:from>
    <xdr:to>
      <xdr:col>21</xdr:col>
      <xdr:colOff>579646</xdr:colOff>
      <xdr:row>25</xdr:row>
      <xdr:rowOff>91418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15400" y="1162050"/>
          <a:ext cx="6066046" cy="413954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12</xdr:row>
      <xdr:rowOff>9525</xdr:rowOff>
    </xdr:from>
    <xdr:to>
      <xdr:col>11</xdr:col>
      <xdr:colOff>906336</xdr:colOff>
      <xdr:row>30</xdr:row>
      <xdr:rowOff>6774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33725" y="2438400"/>
          <a:ext cx="8059611" cy="3426249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11</xdr:row>
      <xdr:rowOff>9525</xdr:rowOff>
    </xdr:from>
    <xdr:to>
      <xdr:col>11</xdr:col>
      <xdr:colOff>912740</xdr:colOff>
      <xdr:row>28</xdr:row>
      <xdr:rowOff>38764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6150" y="2219325"/>
          <a:ext cx="7218290" cy="3267739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5</xdr:row>
      <xdr:rowOff>104775</xdr:rowOff>
    </xdr:from>
    <xdr:to>
      <xdr:col>19</xdr:col>
      <xdr:colOff>497723</xdr:colOff>
      <xdr:row>24</xdr:row>
      <xdr:rowOff>108947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05450" y="1057275"/>
          <a:ext cx="5974598" cy="417612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3</xdr:row>
      <xdr:rowOff>161925</xdr:rowOff>
    </xdr:from>
    <xdr:to>
      <xdr:col>18</xdr:col>
      <xdr:colOff>308076</xdr:colOff>
      <xdr:row>22</xdr:row>
      <xdr:rowOff>43393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43425" y="733425"/>
          <a:ext cx="7023201" cy="392006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</xdr:row>
      <xdr:rowOff>171450</xdr:rowOff>
    </xdr:from>
    <xdr:to>
      <xdr:col>17</xdr:col>
      <xdr:colOff>3957</xdr:colOff>
      <xdr:row>22</xdr:row>
      <xdr:rowOff>175582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95825" y="933450"/>
          <a:ext cx="6090432" cy="371888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6</xdr:row>
      <xdr:rowOff>9525</xdr:rowOff>
    </xdr:from>
    <xdr:to>
      <xdr:col>18</xdr:col>
      <xdr:colOff>565932</xdr:colOff>
      <xdr:row>25</xdr:row>
      <xdr:rowOff>106279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34075" y="1152525"/>
          <a:ext cx="6090432" cy="4163929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15</xdr:row>
      <xdr:rowOff>180975</xdr:rowOff>
    </xdr:from>
    <xdr:to>
      <xdr:col>19</xdr:col>
      <xdr:colOff>24967</xdr:colOff>
      <xdr:row>42</xdr:row>
      <xdr:rowOff>48821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53225" y="3305175"/>
          <a:ext cx="6730567" cy="5011346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5</xdr:row>
      <xdr:rowOff>190500</xdr:rowOff>
    </xdr:from>
    <xdr:to>
      <xdr:col>29</xdr:col>
      <xdr:colOff>400050</xdr:colOff>
      <xdr:row>37</xdr:row>
      <xdr:rowOff>171450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1181100"/>
          <a:ext cx="5867400" cy="676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3</xdr:row>
      <xdr:rowOff>161925</xdr:rowOff>
    </xdr:from>
    <xdr:to>
      <xdr:col>17</xdr:col>
      <xdr:colOff>280155</xdr:colOff>
      <xdr:row>21</xdr:row>
      <xdr:rowOff>76143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9650" y="733425"/>
          <a:ext cx="5785605" cy="3743268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4</xdr:row>
      <xdr:rowOff>76200</xdr:rowOff>
    </xdr:from>
    <xdr:to>
      <xdr:col>23</xdr:col>
      <xdr:colOff>442801</xdr:colOff>
      <xdr:row>20</xdr:row>
      <xdr:rowOff>23543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15350" y="838200"/>
          <a:ext cx="5310076" cy="34811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133350</xdr:rowOff>
    </xdr:from>
    <xdr:to>
      <xdr:col>23</xdr:col>
      <xdr:colOff>335732</xdr:colOff>
      <xdr:row>39</xdr:row>
      <xdr:rowOff>100116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05825" y="4619625"/>
          <a:ext cx="5212532" cy="33957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F4.1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dataoecd/30/43/3970524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F4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DataF4.1"/>
      <sheetName val="F4.1"/>
      <sheetName val="DataF4.2a"/>
      <sheetName val="F4.2a"/>
      <sheetName val="DataF4.2b"/>
      <sheetName val="F4.2b"/>
      <sheetName val="DataF4.3"/>
      <sheetName val="F4.3"/>
      <sheetName val="DataF4.4"/>
      <sheetName val="F4.4"/>
      <sheetName val="DataF4.5"/>
      <sheetName val="F4.5"/>
      <sheetName val="F4.6"/>
      <sheetName val="DataF4.7"/>
      <sheetName val="F4.7"/>
      <sheetName val="DataF4.8&amp;9"/>
      <sheetName val="F4.8&amp;9"/>
      <sheetName val="DataF4.10"/>
      <sheetName val="F4.10"/>
      <sheetName val="F4.11"/>
      <sheetName val="DataF4.12"/>
      <sheetName val="F4.12"/>
      <sheetName val="DataF4.13"/>
      <sheetName val="F4.13"/>
      <sheetName val="F4.14a"/>
      <sheetName val="F4.14b"/>
      <sheetName val="F4.14c"/>
      <sheetName val="F4.14d"/>
      <sheetName val="4.14e"/>
      <sheetName val="4.14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B10" t="str">
            <v>Sweden</v>
          </cell>
          <cell r="C10">
            <v>10.550641870327462</v>
          </cell>
          <cell r="D10">
            <v>503.33400584191179</v>
          </cell>
        </row>
        <row r="11">
          <cell r="B11" t="str">
            <v>Portugal</v>
          </cell>
          <cell r="C11">
            <v>16.639891509146871</v>
          </cell>
          <cell r="D11">
            <v>474.3058891809867</v>
          </cell>
        </row>
        <row r="12">
          <cell r="B12" t="str">
            <v>Bulgaria</v>
          </cell>
          <cell r="C12">
            <v>24.134071407275055</v>
          </cell>
          <cell r="D12">
            <v>434.07977092534918</v>
          </cell>
        </row>
        <row r="13">
          <cell r="B13" t="str">
            <v>Czech Republic</v>
          </cell>
          <cell r="C13">
            <v>15.554144639431172</v>
          </cell>
          <cell r="D13">
            <v>512.86074607476155</v>
          </cell>
        </row>
        <row r="14">
          <cell r="B14" t="str">
            <v>Japan</v>
          </cell>
          <cell r="C14">
            <v>7.4268625462088789</v>
          </cell>
          <cell r="D14">
            <v>531.38850878848496</v>
          </cell>
        </row>
        <row r="15">
          <cell r="B15" t="str">
            <v>Hong Kong-China</v>
          </cell>
          <cell r="C15">
            <v>6.8862978049439274</v>
          </cell>
          <cell r="D15">
            <v>542.21138750834598</v>
          </cell>
        </row>
        <row r="16">
          <cell r="B16" t="str">
            <v>Montenegro</v>
          </cell>
          <cell r="C16">
            <v>7.5251288261433595</v>
          </cell>
          <cell r="D16">
            <v>411.78842807303761</v>
          </cell>
        </row>
        <row r="17">
          <cell r="B17" t="str">
            <v>Greece</v>
          </cell>
          <cell r="C17">
            <v>14.961354362534705</v>
          </cell>
          <cell r="D17">
            <v>473.37796390788793</v>
          </cell>
        </row>
        <row r="18">
          <cell r="B18" t="str">
            <v>Chinese Taipei</v>
          </cell>
          <cell r="C18">
            <v>12.521067583443852</v>
          </cell>
          <cell r="D18">
            <v>532.473546333954</v>
          </cell>
        </row>
        <row r="20">
          <cell r="B20" t="str">
            <v>Thailand</v>
          </cell>
          <cell r="C20">
            <v>15.94946080687118</v>
          </cell>
          <cell r="D20">
            <v>421.01146938619155</v>
          </cell>
        </row>
        <row r="21">
          <cell r="B21" t="str">
            <v>Azerbaijan</v>
          </cell>
          <cell r="C21">
            <v>4.7365263748177489</v>
          </cell>
          <cell r="D21">
            <v>382.33393680595879</v>
          </cell>
        </row>
        <row r="22">
          <cell r="B22" t="str">
            <v>Estonia</v>
          </cell>
          <cell r="C22">
            <v>9.3264300091437455</v>
          </cell>
          <cell r="D22">
            <v>531.39180407550066</v>
          </cell>
        </row>
        <row r="23">
          <cell r="B23" t="str">
            <v>Uruguay</v>
          </cell>
          <cell r="C23">
            <v>18.253371706440095</v>
          </cell>
          <cell r="D23">
            <v>428.13388476090512</v>
          </cell>
        </row>
        <row r="24">
          <cell r="B24" t="str">
            <v>Chile</v>
          </cell>
          <cell r="C24">
            <v>23.264781371150896</v>
          </cell>
          <cell r="D24">
            <v>438.17744477339028</v>
          </cell>
        </row>
        <row r="25">
          <cell r="B25" t="str">
            <v>Indonesia</v>
          </cell>
          <cell r="C25">
            <v>10.221297035910489</v>
          </cell>
          <cell r="D25">
            <v>393.48101815895353</v>
          </cell>
        </row>
        <row r="26">
          <cell r="B26" t="str">
            <v>Spain</v>
          </cell>
          <cell r="C26">
            <v>13.898504302892963</v>
          </cell>
          <cell r="D26">
            <v>488.42452240329317</v>
          </cell>
        </row>
        <row r="27">
          <cell r="B27" t="str">
            <v>Brazil</v>
          </cell>
          <cell r="C27">
            <v>17.075992624255811</v>
          </cell>
          <cell r="D27">
            <v>390.33157073822071</v>
          </cell>
        </row>
        <row r="28">
          <cell r="B28" t="str">
            <v>Romania</v>
          </cell>
          <cell r="C28">
            <v>16.598839996730902</v>
          </cell>
          <cell r="D28">
            <v>418.38637258396648</v>
          </cell>
        </row>
        <row r="29">
          <cell r="B29" t="str">
            <v>Argentina</v>
          </cell>
          <cell r="C29">
            <v>19.507976584213989</v>
          </cell>
          <cell r="D29">
            <v>391.24390180976741</v>
          </cell>
        </row>
        <row r="30">
          <cell r="B30" t="str">
            <v>Russian Federation</v>
          </cell>
          <cell r="C30">
            <v>8.1319828345077667</v>
          </cell>
          <cell r="D30">
            <v>479.4704174310134</v>
          </cell>
        </row>
        <row r="31">
          <cell r="B31" t="str">
            <v>Liechtenstein</v>
          </cell>
          <cell r="C31">
            <v>20.435758919573765</v>
          </cell>
          <cell r="D31">
            <v>522.16103403227908</v>
          </cell>
        </row>
        <row r="32">
          <cell r="B32" t="str">
            <v>Belgium</v>
          </cell>
          <cell r="C32">
            <v>19.403693500340321</v>
          </cell>
          <cell r="D32">
            <v>510.3634836232149</v>
          </cell>
        </row>
        <row r="33">
          <cell r="B33" t="str">
            <v>Lithuania</v>
          </cell>
          <cell r="C33">
            <v>15.209141780645602</v>
          </cell>
          <cell r="D33">
            <v>487.95669840774809</v>
          </cell>
        </row>
        <row r="34">
          <cell r="B34" t="str">
            <v>Austria</v>
          </cell>
          <cell r="C34">
            <v>15.443285786802571</v>
          </cell>
          <cell r="D34">
            <v>510.83715413471145</v>
          </cell>
        </row>
        <row r="35">
          <cell r="B35" t="str">
            <v>Canada</v>
          </cell>
          <cell r="C35">
            <v>8.2197243127947122</v>
          </cell>
          <cell r="D35">
            <v>534.46977729238301</v>
          </cell>
        </row>
        <row r="36">
          <cell r="B36" t="str">
            <v>Latvia</v>
          </cell>
          <cell r="C36">
            <v>9.7443777335348738</v>
          </cell>
          <cell r="D36">
            <v>489.54377748050467</v>
          </cell>
        </row>
        <row r="37">
          <cell r="B37" t="str">
            <v>New Zealand</v>
          </cell>
          <cell r="C37">
            <v>16.438109322913981</v>
          </cell>
          <cell r="D37">
            <v>530.38436078015798</v>
          </cell>
        </row>
        <row r="38">
          <cell r="B38" t="str">
            <v>Mexico</v>
          </cell>
          <cell r="C38">
            <v>16.776684047894726</v>
          </cell>
          <cell r="D38">
            <v>409.65195183801347</v>
          </cell>
        </row>
        <row r="39">
          <cell r="B39" t="str">
            <v>Jordan</v>
          </cell>
          <cell r="C39">
            <v>11.233396595918125</v>
          </cell>
          <cell r="D39">
            <v>421.97182495518638</v>
          </cell>
        </row>
        <row r="40">
          <cell r="B40" t="str">
            <v>Croatia</v>
          </cell>
          <cell r="C40">
            <v>12.277962685578407</v>
          </cell>
          <cell r="D40">
            <v>493.20439179077681</v>
          </cell>
        </row>
        <row r="41">
          <cell r="B41" t="str">
            <v>Ireland</v>
          </cell>
          <cell r="C41">
            <v>12.677754328490154</v>
          </cell>
          <cell r="D41">
            <v>508.32893003224444</v>
          </cell>
        </row>
        <row r="42">
          <cell r="B42" t="str">
            <v>Colombia</v>
          </cell>
          <cell r="C42">
            <v>11.421565103694128</v>
          </cell>
          <cell r="D42">
            <v>388.03827190917906</v>
          </cell>
        </row>
        <row r="43">
          <cell r="B43" t="str">
            <v>United Kingdom</v>
          </cell>
          <cell r="C43">
            <v>13.935179374417345</v>
          </cell>
          <cell r="D43">
            <v>514.77354783956582</v>
          </cell>
        </row>
        <row r="44">
          <cell r="B44" t="str">
            <v>Australia</v>
          </cell>
          <cell r="C44">
            <v>11.303879607714942</v>
          </cell>
          <cell r="D44">
            <v>526.87958855791794</v>
          </cell>
        </row>
        <row r="45">
          <cell r="B45" t="str">
            <v>United States</v>
          </cell>
          <cell r="C45">
            <v>17.893433840555442</v>
          </cell>
          <cell r="D45">
            <v>488.906836775351</v>
          </cell>
        </row>
        <row r="46">
          <cell r="B46" t="str">
            <v>Finland</v>
          </cell>
          <cell r="C46">
            <v>8.2752491707359788</v>
          </cell>
          <cell r="D46">
            <v>563.32283387827954</v>
          </cell>
        </row>
        <row r="47">
          <cell r="B47" t="str">
            <v>Iceland</v>
          </cell>
          <cell r="C47">
            <v>6.7076011108001721</v>
          </cell>
          <cell r="D47">
            <v>490.79377407194772</v>
          </cell>
        </row>
        <row r="48">
          <cell r="B48" t="str">
            <v>Tunisia</v>
          </cell>
          <cell r="C48">
            <v>9.5035727791673388</v>
          </cell>
          <cell r="D48">
            <v>385.50671388698049</v>
          </cell>
        </row>
        <row r="49">
          <cell r="B49" t="str">
            <v>Israel</v>
          </cell>
          <cell r="C49">
            <v>10.890864146522661</v>
          </cell>
          <cell r="D49">
            <v>453.903708229828</v>
          </cell>
        </row>
        <row r="50">
          <cell r="B50" t="str">
            <v>Kyrgyzstan</v>
          </cell>
          <cell r="C50">
            <v>8.1692319701804532</v>
          </cell>
          <cell r="D50">
            <v>322.03158133572936</v>
          </cell>
        </row>
        <row r="51">
          <cell r="B51" t="str">
            <v>Norway</v>
          </cell>
          <cell r="C51">
            <v>8.2816575964912147</v>
          </cell>
          <cell r="D51">
            <v>486.52795716704929</v>
          </cell>
        </row>
        <row r="52">
          <cell r="B52" t="str">
            <v>Slovenia</v>
          </cell>
          <cell r="C52">
            <v>16.685766573107184</v>
          </cell>
          <cell r="D52">
            <v>518.81560952189761</v>
          </cell>
        </row>
        <row r="53">
          <cell r="B53" t="str">
            <v>Hungary</v>
          </cell>
          <cell r="C53">
            <v>21.419383043599044</v>
          </cell>
          <cell r="D53">
            <v>503.93172871580276</v>
          </cell>
        </row>
        <row r="54">
          <cell r="B54" t="str">
            <v>Macao-China</v>
          </cell>
          <cell r="C54">
            <v>2.1867636247747924</v>
          </cell>
          <cell r="D54">
            <v>510.83972238186709</v>
          </cell>
        </row>
        <row r="55">
          <cell r="B55" t="str">
            <v>Poland</v>
          </cell>
          <cell r="C55">
            <v>14.490972709257511</v>
          </cell>
          <cell r="D55">
            <v>497.80650214655424</v>
          </cell>
        </row>
        <row r="56">
          <cell r="B56" t="str">
            <v>Turkey</v>
          </cell>
          <cell r="C56">
            <v>16.521883781513285</v>
          </cell>
          <cell r="D56">
            <v>423.83274507396419</v>
          </cell>
        </row>
        <row r="57">
          <cell r="B57" t="str">
            <v>Netherlands</v>
          </cell>
          <cell r="C57">
            <v>16.73885567838505</v>
          </cell>
          <cell r="D57">
            <v>524.86150572781446</v>
          </cell>
        </row>
        <row r="58">
          <cell r="B58" t="str">
            <v>Serbia</v>
          </cell>
          <cell r="C58">
            <v>13.165060579969246</v>
          </cell>
          <cell r="D58">
            <v>435.63634448073645</v>
          </cell>
        </row>
        <row r="59">
          <cell r="B59" t="str">
            <v>Italy</v>
          </cell>
          <cell r="C59">
            <v>10.039088679090892</v>
          </cell>
          <cell r="D59">
            <v>475.39722060224</v>
          </cell>
        </row>
        <row r="60">
          <cell r="B60" t="str">
            <v>Luxembourg</v>
          </cell>
          <cell r="C60">
            <v>21.726970354855808</v>
          </cell>
          <cell r="D60">
            <v>486.32436260449327</v>
          </cell>
        </row>
        <row r="61">
          <cell r="B61" t="str">
            <v>Denmark</v>
          </cell>
          <cell r="C61">
            <v>14.145744753467213</v>
          </cell>
          <cell r="D61">
            <v>495.89430996721217</v>
          </cell>
        </row>
        <row r="62">
          <cell r="B62" t="str">
            <v>Slovak Republic</v>
          </cell>
          <cell r="C62">
            <v>19.200790369711576</v>
          </cell>
          <cell r="D62">
            <v>488.43339822300607</v>
          </cell>
        </row>
        <row r="63">
          <cell r="B63" t="str">
            <v>Korea</v>
          </cell>
          <cell r="C63">
            <v>8.1426210732320197</v>
          </cell>
          <cell r="D63">
            <v>522.14814075448646</v>
          </cell>
        </row>
        <row r="64">
          <cell r="B64" t="str">
            <v>France</v>
          </cell>
          <cell r="C64">
            <v>21.15987911921637</v>
          </cell>
          <cell r="D64">
            <v>495.21983863805633</v>
          </cell>
        </row>
        <row r="65">
          <cell r="B65" t="str">
            <v>Switzerland</v>
          </cell>
          <cell r="C65">
            <v>15.703488434388479</v>
          </cell>
          <cell r="D65">
            <v>511.52390977054228</v>
          </cell>
        </row>
        <row r="66">
          <cell r="B66" t="str">
            <v>Germany</v>
          </cell>
          <cell r="C66">
            <v>18.960271847696394</v>
          </cell>
          <cell r="D66">
            <v>515.64913003029028</v>
          </cell>
        </row>
        <row r="67">
          <cell r="C67">
            <v>14.421253369163574</v>
          </cell>
          <cell r="D67">
            <v>300</v>
          </cell>
        </row>
        <row r="68">
          <cell r="C68">
            <v>14.421253369163574</v>
          </cell>
          <cell r="D68">
            <v>600</v>
          </cell>
        </row>
        <row r="69">
          <cell r="C69">
            <v>30</v>
          </cell>
          <cell r="D69">
            <v>500</v>
          </cell>
        </row>
        <row r="70">
          <cell r="C70">
            <v>0</v>
          </cell>
          <cell r="D70">
            <v>500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icasdeexcel.blogspot.com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hyperlink" Target="http://www.oecd.org/document/2/0,3343,en_32252351_32236191_39718850_1_1_1_1,00.html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7:D131"/>
  <sheetViews>
    <sheetView tabSelected="1" workbookViewId="0">
      <selection activeCell="C5" sqref="C5"/>
    </sheetView>
  </sheetViews>
  <sheetFormatPr defaultRowHeight="15"/>
  <cols>
    <col min="1" max="1" width="2.28515625" customWidth="1"/>
    <col min="2" max="2" width="10" customWidth="1"/>
    <col min="3" max="3" width="150.5703125" customWidth="1"/>
    <col min="4" max="4" width="10.140625" customWidth="1"/>
  </cols>
  <sheetData>
    <row r="7" spans="2:4" ht="15.75">
      <c r="B7" s="24"/>
      <c r="C7" s="25" t="s">
        <v>0</v>
      </c>
      <c r="D7" s="26"/>
    </row>
    <row r="8" spans="2:4" ht="20.25" customHeight="1">
      <c r="C8" s="27" t="s">
        <v>320</v>
      </c>
    </row>
    <row r="10" spans="2:4">
      <c r="B10" s="31"/>
      <c r="C10" s="32" t="s">
        <v>1</v>
      </c>
      <c r="D10" s="33"/>
    </row>
    <row r="11" spans="2:4" ht="6.75" customHeight="1">
      <c r="B11" s="4"/>
      <c r="C11" s="5"/>
      <c r="D11" s="6"/>
    </row>
    <row r="12" spans="2:4">
      <c r="B12" s="34"/>
      <c r="C12" s="35" t="s">
        <v>4</v>
      </c>
      <c r="D12" s="36"/>
    </row>
    <row r="13" spans="2:4" ht="6.75" customHeight="1"/>
    <row r="14" spans="2:4">
      <c r="B14" s="23" t="s">
        <v>21</v>
      </c>
      <c r="C14" s="2" t="s">
        <v>2</v>
      </c>
      <c r="D14" s="3" t="s">
        <v>3</v>
      </c>
    </row>
    <row r="15" spans="2:4">
      <c r="B15" s="108" t="s">
        <v>22</v>
      </c>
      <c r="C15" s="2" t="s">
        <v>5</v>
      </c>
      <c r="D15" s="3" t="s">
        <v>6</v>
      </c>
    </row>
    <row r="16" spans="2:4">
      <c r="B16" s="108" t="s">
        <v>23</v>
      </c>
      <c r="C16" s="2" t="s">
        <v>9</v>
      </c>
      <c r="D16" s="3" t="s">
        <v>8</v>
      </c>
    </row>
    <row r="17" spans="2:4">
      <c r="B17" s="108" t="s">
        <v>24</v>
      </c>
      <c r="C17" s="2" t="s">
        <v>12</v>
      </c>
      <c r="D17" s="3" t="s">
        <v>11</v>
      </c>
    </row>
    <row r="18" spans="2:4">
      <c r="B18" s="108" t="s">
        <v>25</v>
      </c>
      <c r="C18" s="2" t="s">
        <v>13</v>
      </c>
      <c r="D18" s="3" t="s">
        <v>14</v>
      </c>
    </row>
    <row r="19" spans="2:4">
      <c r="B19" s="108" t="s">
        <v>26</v>
      </c>
      <c r="C19" s="2" t="s">
        <v>15</v>
      </c>
      <c r="D19" s="3" t="s">
        <v>16</v>
      </c>
    </row>
    <row r="20" spans="2:4">
      <c r="B20" s="108" t="s">
        <v>27</v>
      </c>
      <c r="C20" s="2" t="s">
        <v>17</v>
      </c>
      <c r="D20" s="3" t="s">
        <v>18</v>
      </c>
    </row>
    <row r="21" spans="2:4">
      <c r="B21" s="108" t="s">
        <v>28</v>
      </c>
      <c r="C21" s="2" t="s">
        <v>19</v>
      </c>
      <c r="D21" s="3" t="s">
        <v>20</v>
      </c>
    </row>
    <row r="22" spans="2:4" ht="6.75" customHeight="1">
      <c r="D22" s="3"/>
    </row>
    <row r="23" spans="2:4">
      <c r="B23" s="37"/>
      <c r="C23" s="38" t="s">
        <v>29</v>
      </c>
      <c r="D23" s="39"/>
    </row>
    <row r="24" spans="2:4" ht="6.75" customHeight="1">
      <c r="D24" s="3"/>
    </row>
    <row r="25" spans="2:4">
      <c r="B25" s="108" t="s">
        <v>47</v>
      </c>
      <c r="C25" s="2" t="s">
        <v>30</v>
      </c>
      <c r="D25" s="3" t="s">
        <v>31</v>
      </c>
    </row>
    <row r="26" spans="2:4">
      <c r="B26" s="108" t="s">
        <v>48</v>
      </c>
      <c r="C26" s="2" t="s">
        <v>32</v>
      </c>
      <c r="D26" s="3" t="s">
        <v>33</v>
      </c>
    </row>
    <row r="27" spans="2:4">
      <c r="B27" s="108" t="s">
        <v>49</v>
      </c>
      <c r="C27" s="2" t="s">
        <v>34</v>
      </c>
      <c r="D27" s="3" t="s">
        <v>35</v>
      </c>
    </row>
    <row r="28" spans="2:4">
      <c r="B28" s="108" t="s">
        <v>50</v>
      </c>
      <c r="C28" s="2" t="s">
        <v>36</v>
      </c>
      <c r="D28" s="3" t="s">
        <v>37</v>
      </c>
    </row>
    <row r="29" spans="2:4">
      <c r="B29" s="108" t="s">
        <v>51</v>
      </c>
      <c r="C29" s="2" t="s">
        <v>38</v>
      </c>
      <c r="D29" s="3" t="s">
        <v>39</v>
      </c>
    </row>
    <row r="30" spans="2:4">
      <c r="B30" s="108" t="s">
        <v>52</v>
      </c>
      <c r="C30" s="2" t="s">
        <v>40</v>
      </c>
      <c r="D30" s="3" t="s">
        <v>41</v>
      </c>
    </row>
    <row r="31" spans="2:4">
      <c r="B31" s="108" t="s">
        <v>53</v>
      </c>
      <c r="C31" s="2" t="s">
        <v>42</v>
      </c>
      <c r="D31" s="3" t="s">
        <v>43</v>
      </c>
    </row>
    <row r="32" spans="2:4" ht="6.75" customHeight="1">
      <c r="D32" s="3"/>
    </row>
    <row r="33" spans="2:4">
      <c r="B33" s="40"/>
      <c r="C33" s="41" t="s">
        <v>44</v>
      </c>
      <c r="D33" s="42"/>
    </row>
    <row r="34" spans="2:4" ht="6.75" customHeight="1">
      <c r="D34" s="3"/>
    </row>
    <row r="35" spans="2:4">
      <c r="B35" s="108" t="s">
        <v>122</v>
      </c>
      <c r="C35" s="2" t="s">
        <v>45</v>
      </c>
      <c r="D35" s="3" t="s">
        <v>46</v>
      </c>
    </row>
    <row r="36" spans="2:4">
      <c r="B36" s="108" t="s">
        <v>123</v>
      </c>
      <c r="C36" s="2" t="s">
        <v>54</v>
      </c>
      <c r="D36" s="3" t="s">
        <v>55</v>
      </c>
    </row>
    <row r="37" spans="2:4">
      <c r="B37" s="108" t="s">
        <v>124</v>
      </c>
      <c r="C37" s="2" t="s">
        <v>56</v>
      </c>
      <c r="D37" s="3" t="s">
        <v>57</v>
      </c>
    </row>
    <row r="38" spans="2:4">
      <c r="B38" s="108" t="s">
        <v>125</v>
      </c>
      <c r="C38" s="2" t="s">
        <v>58</v>
      </c>
      <c r="D38" s="3" t="s">
        <v>59</v>
      </c>
    </row>
    <row r="39" spans="2:4">
      <c r="B39" s="108" t="s">
        <v>126</v>
      </c>
      <c r="C39" s="2" t="s">
        <v>60</v>
      </c>
      <c r="D39" s="3" t="s">
        <v>61</v>
      </c>
    </row>
    <row r="40" spans="2:4">
      <c r="B40" s="108" t="s">
        <v>127</v>
      </c>
      <c r="C40" s="2" t="s">
        <v>62</v>
      </c>
      <c r="D40" s="3" t="s">
        <v>63</v>
      </c>
    </row>
    <row r="41" spans="2:4">
      <c r="B41" s="108" t="s">
        <v>128</v>
      </c>
      <c r="C41" s="2" t="s">
        <v>64</v>
      </c>
      <c r="D41" s="3" t="s">
        <v>65</v>
      </c>
    </row>
    <row r="42" spans="2:4">
      <c r="B42" s="108" t="s">
        <v>129</v>
      </c>
      <c r="C42" s="2" t="s">
        <v>66</v>
      </c>
      <c r="D42" s="3" t="s">
        <v>67</v>
      </c>
    </row>
    <row r="43" spans="2:4">
      <c r="B43" s="108" t="s">
        <v>130</v>
      </c>
      <c r="C43" s="2" t="s">
        <v>68</v>
      </c>
      <c r="D43" s="3" t="s">
        <v>69</v>
      </c>
    </row>
    <row r="44" spans="2:4">
      <c r="B44" s="108" t="s">
        <v>131</v>
      </c>
      <c r="C44" s="2" t="s">
        <v>70</v>
      </c>
      <c r="D44" s="3" t="s">
        <v>71</v>
      </c>
    </row>
    <row r="45" spans="2:4">
      <c r="B45" s="108" t="s">
        <v>132</v>
      </c>
      <c r="C45" s="2" t="s">
        <v>72</v>
      </c>
      <c r="D45" s="3" t="s">
        <v>73</v>
      </c>
    </row>
    <row r="46" spans="2:4">
      <c r="B46" s="108" t="s">
        <v>133</v>
      </c>
      <c r="C46" s="2" t="s">
        <v>74</v>
      </c>
      <c r="D46" s="3" t="s">
        <v>75</v>
      </c>
    </row>
    <row r="47" spans="2:4">
      <c r="B47" s="108" t="s">
        <v>134</v>
      </c>
      <c r="C47" s="2" t="s">
        <v>76</v>
      </c>
      <c r="D47" s="3" t="s">
        <v>77</v>
      </c>
    </row>
    <row r="48" spans="2:4">
      <c r="B48" s="108" t="s">
        <v>135</v>
      </c>
      <c r="C48" s="2" t="s">
        <v>78</v>
      </c>
      <c r="D48" s="3" t="s">
        <v>79</v>
      </c>
    </row>
    <row r="49" spans="2:4">
      <c r="B49" s="108" t="s">
        <v>136</v>
      </c>
      <c r="C49" s="2" t="s">
        <v>80</v>
      </c>
      <c r="D49" s="3" t="s">
        <v>81</v>
      </c>
    </row>
    <row r="50" spans="2:4">
      <c r="B50" s="108" t="s">
        <v>137</v>
      </c>
      <c r="C50" s="2" t="s">
        <v>82</v>
      </c>
      <c r="D50" s="3" t="s">
        <v>83</v>
      </c>
    </row>
    <row r="51" spans="2:4">
      <c r="B51" s="108" t="s">
        <v>138</v>
      </c>
      <c r="C51" s="2" t="s">
        <v>84</v>
      </c>
      <c r="D51" s="3" t="s">
        <v>85</v>
      </c>
    </row>
    <row r="52" spans="2:4">
      <c r="B52" s="108" t="s">
        <v>139</v>
      </c>
      <c r="C52" s="2" t="s">
        <v>86</v>
      </c>
      <c r="D52" s="3" t="s">
        <v>87</v>
      </c>
    </row>
    <row r="53" spans="2:4">
      <c r="B53" s="108" t="s">
        <v>140</v>
      </c>
      <c r="C53" s="2" t="s">
        <v>88</v>
      </c>
      <c r="D53" s="3" t="s">
        <v>89</v>
      </c>
    </row>
    <row r="54" spans="2:4">
      <c r="B54" s="108" t="s">
        <v>141</v>
      </c>
      <c r="C54" s="2" t="s">
        <v>90</v>
      </c>
      <c r="D54" s="3" t="s">
        <v>91</v>
      </c>
    </row>
    <row r="55" spans="2:4">
      <c r="B55" s="108" t="s">
        <v>142</v>
      </c>
      <c r="C55" s="2" t="s">
        <v>92</v>
      </c>
      <c r="D55" s="3" t="s">
        <v>93</v>
      </c>
    </row>
    <row r="56" spans="2:4">
      <c r="B56" s="108" t="s">
        <v>143</v>
      </c>
      <c r="C56" s="2" t="s">
        <v>94</v>
      </c>
      <c r="D56" s="3" t="s">
        <v>95</v>
      </c>
    </row>
    <row r="57" spans="2:4">
      <c r="B57" s="108" t="s">
        <v>144</v>
      </c>
      <c r="C57" s="2" t="s">
        <v>96</v>
      </c>
      <c r="D57" s="3" t="s">
        <v>97</v>
      </c>
    </row>
    <row r="58" spans="2:4">
      <c r="B58" s="108" t="s">
        <v>145</v>
      </c>
      <c r="C58" s="2" t="s">
        <v>98</v>
      </c>
      <c r="D58" s="3" t="s">
        <v>99</v>
      </c>
    </row>
    <row r="59" spans="2:4">
      <c r="B59" s="108" t="s">
        <v>146</v>
      </c>
      <c r="C59" s="2" t="s">
        <v>100</v>
      </c>
      <c r="D59" s="3" t="s">
        <v>101</v>
      </c>
    </row>
    <row r="60" spans="2:4">
      <c r="B60" s="108" t="s">
        <v>147</v>
      </c>
      <c r="C60" s="2" t="s">
        <v>102</v>
      </c>
      <c r="D60" s="3" t="s">
        <v>103</v>
      </c>
    </row>
    <row r="61" spans="2:4">
      <c r="B61" s="108" t="s">
        <v>148</v>
      </c>
      <c r="C61" s="2" t="s">
        <v>104</v>
      </c>
      <c r="D61" s="3" t="s">
        <v>105</v>
      </c>
    </row>
    <row r="62" spans="2:4">
      <c r="B62" s="108" t="s">
        <v>149</v>
      </c>
      <c r="C62" s="2" t="s">
        <v>106</v>
      </c>
      <c r="D62" s="3" t="s">
        <v>107</v>
      </c>
    </row>
    <row r="63" spans="2:4">
      <c r="B63" s="108" t="s">
        <v>150</v>
      </c>
      <c r="C63" s="2" t="s">
        <v>108</v>
      </c>
      <c r="D63" s="3" t="s">
        <v>109</v>
      </c>
    </row>
    <row r="64" spans="2:4">
      <c r="B64" s="108" t="s">
        <v>151</v>
      </c>
      <c r="C64" s="2" t="s">
        <v>110</v>
      </c>
      <c r="D64" s="3" t="s">
        <v>111</v>
      </c>
    </row>
    <row r="65" spans="2:4">
      <c r="B65" s="108" t="s">
        <v>152</v>
      </c>
      <c r="C65" s="2" t="s">
        <v>112</v>
      </c>
      <c r="D65" s="3" t="s">
        <v>113</v>
      </c>
    </row>
    <row r="66" spans="2:4">
      <c r="B66" s="108" t="s">
        <v>153</v>
      </c>
      <c r="C66" s="2" t="s">
        <v>114</v>
      </c>
      <c r="D66" s="3" t="s">
        <v>115</v>
      </c>
    </row>
    <row r="67" spans="2:4">
      <c r="B67" s="108" t="s">
        <v>154</v>
      </c>
      <c r="C67" s="2" t="s">
        <v>116</v>
      </c>
      <c r="D67" s="3" t="s">
        <v>117</v>
      </c>
    </row>
    <row r="68" spans="2:4">
      <c r="B68" s="108" t="s">
        <v>155</v>
      </c>
      <c r="C68" s="2" t="s">
        <v>118</v>
      </c>
      <c r="D68" s="3" t="s">
        <v>119</v>
      </c>
    </row>
    <row r="69" spans="2:4">
      <c r="B69" s="108" t="s">
        <v>156</v>
      </c>
      <c r="C69" s="2" t="s">
        <v>120</v>
      </c>
      <c r="D69" s="3" t="s">
        <v>121</v>
      </c>
    </row>
    <row r="70" spans="2:4" ht="6.75" customHeight="1">
      <c r="D70" s="3"/>
    </row>
    <row r="71" spans="2:4">
      <c r="B71" s="28"/>
      <c r="C71" s="29" t="s">
        <v>157</v>
      </c>
      <c r="D71" s="30"/>
    </row>
    <row r="72" spans="2:4" ht="6.75" customHeight="1">
      <c r="D72" s="3"/>
    </row>
    <row r="73" spans="2:4">
      <c r="B73" s="108" t="s">
        <v>193</v>
      </c>
      <c r="C73" s="2" t="s">
        <v>158</v>
      </c>
      <c r="D73" s="3" t="s">
        <v>159</v>
      </c>
    </row>
    <row r="74" spans="2:4">
      <c r="B74" s="108" t="s">
        <v>194</v>
      </c>
      <c r="C74" s="2" t="s">
        <v>160</v>
      </c>
      <c r="D74" s="3" t="s">
        <v>161</v>
      </c>
    </row>
    <row r="75" spans="2:4">
      <c r="B75" s="108" t="s">
        <v>195</v>
      </c>
      <c r="C75" s="2" t="s">
        <v>162</v>
      </c>
      <c r="D75" s="3" t="s">
        <v>163</v>
      </c>
    </row>
    <row r="76" spans="2:4">
      <c r="B76" s="108" t="s">
        <v>196</v>
      </c>
      <c r="C76" s="2" t="s">
        <v>164</v>
      </c>
      <c r="D76" s="3" t="s">
        <v>165</v>
      </c>
    </row>
    <row r="77" spans="2:4">
      <c r="B77" s="108" t="s">
        <v>197</v>
      </c>
      <c r="C77" s="2" t="s">
        <v>166</v>
      </c>
      <c r="D77" s="3" t="s">
        <v>167</v>
      </c>
    </row>
    <row r="78" spans="2:4">
      <c r="B78" s="108" t="s">
        <v>208</v>
      </c>
      <c r="C78" s="3" t="s">
        <v>168</v>
      </c>
      <c r="D78" s="3" t="s">
        <v>169</v>
      </c>
    </row>
    <row r="79" spans="2:4">
      <c r="B79" s="108" t="s">
        <v>209</v>
      </c>
      <c r="C79" s="3" t="s">
        <v>170</v>
      </c>
      <c r="D79" s="3" t="s">
        <v>171</v>
      </c>
    </row>
    <row r="80" spans="2:4">
      <c r="B80" s="108" t="s">
        <v>198</v>
      </c>
      <c r="C80" s="2" t="s">
        <v>172</v>
      </c>
      <c r="D80" s="3" t="s">
        <v>173</v>
      </c>
    </row>
    <row r="81" spans="2:4">
      <c r="B81" s="108" t="s">
        <v>199</v>
      </c>
      <c r="C81" s="2" t="s">
        <v>174</v>
      </c>
      <c r="D81" s="3" t="s">
        <v>175</v>
      </c>
    </row>
    <row r="82" spans="2:4">
      <c r="B82" s="108" t="s">
        <v>200</v>
      </c>
      <c r="C82" s="2" t="s">
        <v>176</v>
      </c>
      <c r="D82" s="3" t="s">
        <v>177</v>
      </c>
    </row>
    <row r="83" spans="2:4">
      <c r="B83" s="108" t="s">
        <v>201</v>
      </c>
      <c r="C83" s="2" t="s">
        <v>178</v>
      </c>
      <c r="D83" s="3" t="s">
        <v>179</v>
      </c>
    </row>
    <row r="84" spans="2:4">
      <c r="B84" s="108" t="s">
        <v>202</v>
      </c>
      <c r="C84" s="2" t="s">
        <v>180</v>
      </c>
      <c r="D84" s="3" t="s">
        <v>181</v>
      </c>
    </row>
    <row r="85" spans="2:4">
      <c r="B85" s="108" t="s">
        <v>203</v>
      </c>
      <c r="C85" s="2" t="s">
        <v>182</v>
      </c>
      <c r="D85" s="3" t="s">
        <v>183</v>
      </c>
    </row>
    <row r="86" spans="2:4">
      <c r="B86" s="108" t="s">
        <v>204</v>
      </c>
      <c r="C86" s="2" t="s">
        <v>184</v>
      </c>
      <c r="D86" s="3" t="s">
        <v>185</v>
      </c>
    </row>
    <row r="87" spans="2:4">
      <c r="B87" s="108" t="s">
        <v>205</v>
      </c>
      <c r="C87" s="2" t="s">
        <v>186</v>
      </c>
      <c r="D87" s="3" t="s">
        <v>187</v>
      </c>
    </row>
    <row r="88" spans="2:4">
      <c r="B88" s="108" t="s">
        <v>206</v>
      </c>
      <c r="C88" s="2" t="s">
        <v>188</v>
      </c>
      <c r="D88" s="3" t="s">
        <v>189</v>
      </c>
    </row>
    <row r="89" spans="2:4">
      <c r="B89" s="108" t="s">
        <v>207</v>
      </c>
      <c r="C89" s="2" t="s">
        <v>190</v>
      </c>
      <c r="D89" s="3" t="s">
        <v>191</v>
      </c>
    </row>
    <row r="90" spans="2:4" ht="6.75" customHeight="1">
      <c r="D90" s="3"/>
    </row>
    <row r="91" spans="2:4">
      <c r="B91" s="47"/>
      <c r="C91" s="48" t="s">
        <v>192</v>
      </c>
      <c r="D91" s="49"/>
    </row>
    <row r="92" spans="2:4" ht="6.75" customHeight="1">
      <c r="D92" s="3"/>
    </row>
    <row r="93" spans="2:4">
      <c r="B93" s="108" t="s">
        <v>266</v>
      </c>
      <c r="C93" s="43" t="s">
        <v>210</v>
      </c>
      <c r="D93" s="3" t="s">
        <v>211</v>
      </c>
    </row>
    <row r="94" spans="2:4">
      <c r="B94" s="108" t="s">
        <v>267</v>
      </c>
      <c r="C94" s="2" t="s">
        <v>212</v>
      </c>
      <c r="D94" s="3" t="s">
        <v>213</v>
      </c>
    </row>
    <row r="95" spans="2:4">
      <c r="B95" s="108" t="s">
        <v>268</v>
      </c>
      <c r="C95" s="2" t="s">
        <v>214</v>
      </c>
      <c r="D95" s="3" t="s">
        <v>215</v>
      </c>
    </row>
    <row r="96" spans="2:4">
      <c r="B96" s="108" t="s">
        <v>269</v>
      </c>
      <c r="C96" s="2" t="s">
        <v>216</v>
      </c>
      <c r="D96" s="3" t="s">
        <v>217</v>
      </c>
    </row>
    <row r="97" spans="2:4">
      <c r="B97" s="108" t="s">
        <v>270</v>
      </c>
      <c r="C97" s="2" t="s">
        <v>218</v>
      </c>
      <c r="D97" s="3" t="s">
        <v>219</v>
      </c>
    </row>
    <row r="98" spans="2:4">
      <c r="B98" s="108" t="s">
        <v>271</v>
      </c>
      <c r="C98" s="2" t="s">
        <v>220</v>
      </c>
      <c r="D98" s="3" t="s">
        <v>221</v>
      </c>
    </row>
    <row r="99" spans="2:4">
      <c r="B99" s="108" t="s">
        <v>272</v>
      </c>
      <c r="C99" s="2" t="s">
        <v>222</v>
      </c>
      <c r="D99" s="3" t="s">
        <v>223</v>
      </c>
    </row>
    <row r="100" spans="2:4">
      <c r="B100" s="108" t="s">
        <v>273</v>
      </c>
      <c r="C100" s="2" t="s">
        <v>224</v>
      </c>
      <c r="D100" s="3" t="s">
        <v>225</v>
      </c>
    </row>
    <row r="101" spans="2:4">
      <c r="B101" s="108" t="s">
        <v>274</v>
      </c>
      <c r="C101" s="2" t="s">
        <v>226</v>
      </c>
      <c r="D101" s="3" t="s">
        <v>227</v>
      </c>
    </row>
    <row r="102" spans="2:4">
      <c r="B102" s="108" t="s">
        <v>275</v>
      </c>
      <c r="C102" s="2" t="s">
        <v>228</v>
      </c>
      <c r="D102" s="3" t="s">
        <v>229</v>
      </c>
    </row>
    <row r="103" spans="2:4">
      <c r="B103" s="108" t="s">
        <v>276</v>
      </c>
      <c r="C103" s="2" t="s">
        <v>230</v>
      </c>
      <c r="D103" s="3" t="s">
        <v>231</v>
      </c>
    </row>
    <row r="104" spans="2:4">
      <c r="B104" s="108" t="s">
        <v>277</v>
      </c>
      <c r="C104" s="2" t="s">
        <v>232</v>
      </c>
      <c r="D104" s="3" t="s">
        <v>233</v>
      </c>
    </row>
    <row r="105" spans="2:4">
      <c r="B105" s="108" t="s">
        <v>278</v>
      </c>
      <c r="C105" s="2" t="s">
        <v>234</v>
      </c>
      <c r="D105" s="3" t="s">
        <v>235</v>
      </c>
    </row>
    <row r="106" spans="2:4">
      <c r="B106" s="108" t="s">
        <v>279</v>
      </c>
      <c r="C106" s="2" t="s">
        <v>236</v>
      </c>
      <c r="D106" s="3" t="s">
        <v>237</v>
      </c>
    </row>
    <row r="107" spans="2:4">
      <c r="B107" s="108" t="s">
        <v>280</v>
      </c>
      <c r="C107" s="2" t="s">
        <v>238</v>
      </c>
      <c r="D107" s="3" t="s">
        <v>239</v>
      </c>
    </row>
    <row r="108" spans="2:4">
      <c r="B108" s="108" t="s">
        <v>281</v>
      </c>
      <c r="C108" s="2" t="s">
        <v>240</v>
      </c>
      <c r="D108" s="3" t="s">
        <v>241</v>
      </c>
    </row>
    <row r="109" spans="2:4">
      <c r="B109" s="108" t="s">
        <v>282</v>
      </c>
      <c r="C109" s="2" t="s">
        <v>242</v>
      </c>
      <c r="D109" s="3" t="s">
        <v>243</v>
      </c>
    </row>
    <row r="110" spans="2:4">
      <c r="B110" s="108" t="s">
        <v>283</v>
      </c>
      <c r="C110" s="2" t="s">
        <v>244</v>
      </c>
      <c r="D110" s="3" t="s">
        <v>245</v>
      </c>
    </row>
    <row r="111" spans="2:4">
      <c r="B111" s="108" t="s">
        <v>284</v>
      </c>
      <c r="C111" s="2" t="s">
        <v>246</v>
      </c>
      <c r="D111" s="3" t="s">
        <v>247</v>
      </c>
    </row>
    <row r="112" spans="2:4">
      <c r="B112" s="108" t="s">
        <v>285</v>
      </c>
      <c r="C112" s="2" t="s">
        <v>248</v>
      </c>
      <c r="D112" s="3" t="s">
        <v>249</v>
      </c>
    </row>
    <row r="113" spans="2:4">
      <c r="B113" s="108" t="s">
        <v>286</v>
      </c>
      <c r="C113" s="2" t="s">
        <v>250</v>
      </c>
      <c r="D113" s="3" t="s">
        <v>251</v>
      </c>
    </row>
    <row r="114" spans="2:4">
      <c r="B114" s="108" t="s">
        <v>287</v>
      </c>
      <c r="C114" s="2" t="s">
        <v>252</v>
      </c>
      <c r="D114" s="3" t="s">
        <v>253</v>
      </c>
    </row>
    <row r="115" spans="2:4">
      <c r="B115" s="108" t="s">
        <v>288</v>
      </c>
      <c r="C115" s="2" t="s">
        <v>254</v>
      </c>
      <c r="D115" s="3" t="s">
        <v>255</v>
      </c>
    </row>
    <row r="116" spans="2:4">
      <c r="B116" s="108" t="s">
        <v>289</v>
      </c>
      <c r="C116" s="2" t="s">
        <v>256</v>
      </c>
      <c r="D116" s="3" t="s">
        <v>257</v>
      </c>
    </row>
    <row r="117" spans="2:4">
      <c r="B117" s="108" t="s">
        <v>290</v>
      </c>
      <c r="C117" s="2" t="s">
        <v>258</v>
      </c>
      <c r="D117" s="3" t="s">
        <v>259</v>
      </c>
    </row>
    <row r="118" spans="2:4">
      <c r="B118" s="108" t="s">
        <v>291</v>
      </c>
      <c r="C118" s="3" t="s">
        <v>260</v>
      </c>
      <c r="D118" s="3" t="s">
        <v>261</v>
      </c>
    </row>
    <row r="119" spans="2:4" ht="6.75" customHeight="1">
      <c r="D119" s="3"/>
    </row>
    <row r="120" spans="2:4">
      <c r="B120" s="44"/>
      <c r="C120" s="45" t="s">
        <v>262</v>
      </c>
      <c r="D120" s="46"/>
    </row>
    <row r="121" spans="2:4" ht="6.75" customHeight="1">
      <c r="D121" s="3"/>
    </row>
    <row r="122" spans="2:4">
      <c r="B122" s="108" t="s">
        <v>265</v>
      </c>
      <c r="C122" s="2" t="s">
        <v>263</v>
      </c>
      <c r="D122" s="3" t="s">
        <v>264</v>
      </c>
    </row>
    <row r="123" spans="2:4" ht="6.75" customHeight="1">
      <c r="D123" s="3"/>
    </row>
    <row r="124" spans="2:4">
      <c r="B124" s="50"/>
      <c r="C124" s="51" t="s">
        <v>292</v>
      </c>
      <c r="D124" s="52"/>
    </row>
    <row r="125" spans="2:4" ht="6.75" customHeight="1">
      <c r="D125" s="3"/>
    </row>
    <row r="126" spans="2:4">
      <c r="B126" s="53"/>
      <c r="C126" s="54" t="s">
        <v>293</v>
      </c>
      <c r="D126" s="55"/>
    </row>
    <row r="127" spans="2:4" ht="6.75" customHeight="1">
      <c r="D127" s="3"/>
    </row>
    <row r="128" spans="2:4">
      <c r="B128" s="108" t="s">
        <v>302</v>
      </c>
      <c r="C128" s="2" t="s">
        <v>294</v>
      </c>
      <c r="D128" s="3" t="s">
        <v>295</v>
      </c>
    </row>
    <row r="129" spans="2:4">
      <c r="B129" s="108" t="s">
        <v>303</v>
      </c>
      <c r="C129" s="2" t="s">
        <v>296</v>
      </c>
      <c r="D129" s="3" t="s">
        <v>297</v>
      </c>
    </row>
    <row r="130" spans="2:4">
      <c r="B130" s="108" t="s">
        <v>304</v>
      </c>
      <c r="C130" s="2" t="s">
        <v>298</v>
      </c>
      <c r="D130" s="3" t="s">
        <v>299</v>
      </c>
    </row>
    <row r="131" spans="2:4">
      <c r="B131" s="108" t="s">
        <v>305</v>
      </c>
      <c r="C131" s="2" t="s">
        <v>300</v>
      </c>
      <c r="D131" s="3" t="s">
        <v>301</v>
      </c>
    </row>
  </sheetData>
  <hyperlinks>
    <hyperlink ref="B14" location="'1.1.'!A1" display="1.1."/>
    <hyperlink ref="B19" location="'1.6.'!A1" display="1.6."/>
    <hyperlink ref="B67" location="'3.33.'!A1" display="3.33."/>
    <hyperlink ref="B98" location="'5.6.'!A1" display="5.6."/>
    <hyperlink ref="B108" location="'5.16.'!A1" display="5.16."/>
    <hyperlink ref="B109" location="'5.17.'!A1" display="5.17."/>
    <hyperlink ref="B110" location="'5.18.'!A1" display="5.18."/>
    <hyperlink ref="B118" location="'5.26.'!A1" display="5.26."/>
    <hyperlink ref="B122" location="'6.1.'!A1" display="6.1."/>
    <hyperlink ref="B16" location="'1.3.'!A1" display="1.3."/>
    <hyperlink ref="B17" location="'1.4.'!A1" display="1.4."/>
    <hyperlink ref="B111" location="'5.19.'!A1" display="5.19."/>
    <hyperlink ref="B116" location="'5.24.'!A1" display="5.24."/>
    <hyperlink ref="B115" location="'5.23.'!A1" display="5.23."/>
    <hyperlink ref="B117" location="'5.25.'!A1" display="5.25."/>
    <hyperlink ref="B112" location="'5.20.'!A1" display="5.20."/>
    <hyperlink ref="B113" location="'5.21.'!A1" display="5.21."/>
    <hyperlink ref="B114" location="'5.22.'!A1" display="5.22."/>
    <hyperlink ref="B128" location="II.1.1.!A1" display="II.1.1"/>
    <hyperlink ref="B129" location="II.1.2.!A1" display="II.1.2"/>
    <hyperlink ref="B130" location="II.1.3.!A1" display="II.1.3"/>
    <hyperlink ref="B131" location="II.1.4!A1" display="II.1.4"/>
    <hyperlink ref="B15" location="'1.2.'!A1" display="1.2."/>
    <hyperlink ref="B18" location="'1.5.'!A1" display="1.5."/>
    <hyperlink ref="B21" location="'1.8.'!A1" display="1.8."/>
    <hyperlink ref="B20" location="'1.7.'!A1" display="1.7."/>
    <hyperlink ref="B25" location="'2.1.'!A1" display="2.1."/>
    <hyperlink ref="B26" location="'2.2.'!A1" display="2.2."/>
    <hyperlink ref="B27" location="'2.3.'!A1" display="2.3."/>
    <hyperlink ref="B28" location="'2.4.'!A1" display="2.4."/>
    <hyperlink ref="B29" location="'2.5.'!A1" display="2.5."/>
    <hyperlink ref="B30" location="'2.6.'!A1" display="2.6."/>
    <hyperlink ref="B31" location="'2.7.'!A1" display="2.7."/>
    <hyperlink ref="B35" location="'3.1.'!A1" display="3.1."/>
    <hyperlink ref="B36" location="'3.2.'!A1" display="3.2."/>
    <hyperlink ref="B37" location="'3.3.'!A1" display="3.3."/>
    <hyperlink ref="B38" location="'3.4.'!A1" display="3.4."/>
    <hyperlink ref="B39" location="'3.5.'!A1" display="3.5."/>
    <hyperlink ref="B40" location="'3.6.'!A1" display="3.6."/>
    <hyperlink ref="B41" location="'3.7.'!A1" display="3.7."/>
    <hyperlink ref="B42" location="'3.8.'!A1" display="3.8."/>
    <hyperlink ref="B43" location="'3.9.'!A1" display="3.9."/>
    <hyperlink ref="B44" location="'3.10.'!A1" display="3.10."/>
    <hyperlink ref="B45" location="'3.11.'!A1" display="3.11."/>
    <hyperlink ref="B46" location="'3.12.'!A1" display="3.12."/>
    <hyperlink ref="B47" location="'3.13.'!A1" display="3.13."/>
    <hyperlink ref="B48" location="'3.14.'!A1" display="3.14."/>
    <hyperlink ref="B49" location="'3.15.'!A1" display="3.15."/>
    <hyperlink ref="B50" location="'3.16.'!A1" display="3.16."/>
    <hyperlink ref="B51" location="'3.17.'!A1" display="3.17."/>
    <hyperlink ref="B52" location="'3.18.'!A1" display="3.18."/>
    <hyperlink ref="B53" location="'3.19.'!A1" display="3.19."/>
    <hyperlink ref="B54" location="'3.20.'!A1" display="3.20."/>
    <hyperlink ref="B55" location="'3.21.'!A1" display="3.21."/>
    <hyperlink ref="B56" location="'3.22.'!A1" display="3.22."/>
    <hyperlink ref="B57" location="'3.23.'!A1" display="3.23."/>
    <hyperlink ref="B58" location="'3.24.'!A1" display="3.24."/>
    <hyperlink ref="B59" location="'3.25.'!A1" display="3.25."/>
    <hyperlink ref="B60" location="'3.26.'!A1" display="3.26."/>
    <hyperlink ref="B61" location="'3.27.'!A1" display="3.27."/>
    <hyperlink ref="B62" location="'3.28.'!A1" display="3.28."/>
    <hyperlink ref="B63" location="'3.29.'!A1" display="3.29."/>
    <hyperlink ref="B64" location="'3.30.'!A1" display="3.30."/>
    <hyperlink ref="B65" location="'3.31.'!A1" display="3.31."/>
    <hyperlink ref="B66" location="'3.32.'!A1" display="3.32."/>
    <hyperlink ref="B68" location="'3.34.'!A1" display="3.34."/>
    <hyperlink ref="B69" location="'3.35.'!A1" display="3.35."/>
    <hyperlink ref="B73" location="'4.1.'!A1" display="4.1."/>
    <hyperlink ref="B74" location="'4.2.'!A1" display="4.2."/>
    <hyperlink ref="B78" location="'4.6.a.'!A1" display="4.6.a."/>
    <hyperlink ref="B79" location="'4.6.b.'!A1" display="4.6.b."/>
    <hyperlink ref="B80" location="'4.7.'!A1" display="4.7."/>
    <hyperlink ref="B81" location="'4.8.'!A1" display="4.8."/>
    <hyperlink ref="B82" location="'4.9.'!A1" display="4.9."/>
    <hyperlink ref="B83" location="'4.10.'!A1" display="4.10."/>
    <hyperlink ref="B87" location="'4.14.'!A1" display="4.14."/>
    <hyperlink ref="B75" location="'4.3.'!A1" display="4.3."/>
    <hyperlink ref="B76" location="'4.4.'!A1" display="4.4."/>
    <hyperlink ref="B77" location="'4.5.'!A1" display="4.5."/>
    <hyperlink ref="B84" location="'4.11.'!A1" display="4.11."/>
    <hyperlink ref="B85" location="'4.12.'!A1" display="4.12."/>
    <hyperlink ref="B86" location="'4.13.'!A1" display="4.13."/>
    <hyperlink ref="B88" location="'4.15.'!A1" display="4.15."/>
    <hyperlink ref="B89" location="'4.16.'!A1" display="4.16."/>
    <hyperlink ref="B93" location="'5.1.'!A1" display="5.1."/>
    <hyperlink ref="B94" location="'5.2.'!A1" display="5.2."/>
    <hyperlink ref="B95" location="'5.3.'!A1" display="5.3."/>
    <hyperlink ref="B96" location="'5.4.'!A1" display="5.4."/>
    <hyperlink ref="B97" location="'5.5.'!A1" display="5.5."/>
    <hyperlink ref="B99" location="'5.7.'!A1" display="5.7."/>
    <hyperlink ref="B100" location="'5.8.'!A1" display="5.8."/>
    <hyperlink ref="B101" location="'5.9.'!A1" display="5.9."/>
    <hyperlink ref="B102" location="'5.10.'!A1" display="5.10."/>
    <hyperlink ref="B103" location="'5.11.'!A1" display="5.11."/>
    <hyperlink ref="B104" location="'5.12.'!A1" display="5.12."/>
    <hyperlink ref="B105" location="'5.13.'!A1" display="5.13."/>
    <hyperlink ref="B106" location="'5.14.'!A1" display="5.14."/>
    <hyperlink ref="B107" location="'5.15.'!A1" display="5.15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1.2851562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30</v>
      </c>
    </row>
    <row r="5" spans="2:39">
      <c r="C5" s="2"/>
      <c r="D5" s="247">
        <v>2000</v>
      </c>
      <c r="E5" s="420">
        <v>2004</v>
      </c>
      <c r="F5" s="420">
        <v>2008</v>
      </c>
      <c r="G5" s="111">
        <v>2009</v>
      </c>
    </row>
    <row r="6" spans="2:39">
      <c r="C6" s="421" t="s">
        <v>440</v>
      </c>
      <c r="D6" s="422">
        <v>0.19800000000000001</v>
      </c>
      <c r="E6" s="423">
        <v>0.23499999999999999</v>
      </c>
      <c r="F6" s="423">
        <v>0.30199999999999999</v>
      </c>
      <c r="G6" s="423">
        <v>0.34899999999999998</v>
      </c>
    </row>
    <row r="24" spans="3:3">
      <c r="C24" s="2" t="s">
        <v>648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AM25"/>
  <sheetViews>
    <sheetView workbookViewId="0"/>
  </sheetViews>
  <sheetFormatPr defaultRowHeight="15"/>
  <cols>
    <col min="1" max="1" width="2.28515625" customWidth="1"/>
    <col min="2" max="2" width="5.5703125" customWidth="1"/>
    <col min="3" max="3" width="15.7109375" customWidth="1"/>
    <col min="4" max="6" width="10.710937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32</v>
      </c>
    </row>
    <row r="5" spans="2:39" ht="16.5" customHeight="1">
      <c r="C5" s="247" t="s">
        <v>502</v>
      </c>
      <c r="D5" s="420">
        <v>2000</v>
      </c>
      <c r="E5" s="420">
        <v>2004</v>
      </c>
      <c r="F5" s="111">
        <v>2009</v>
      </c>
    </row>
    <row r="6" spans="2:39" ht="16.5" customHeight="1">
      <c r="C6" s="424" t="s">
        <v>649</v>
      </c>
      <c r="D6" s="425">
        <v>27</v>
      </c>
      <c r="E6" s="425">
        <v>32.1</v>
      </c>
      <c r="F6" s="425">
        <v>48.6</v>
      </c>
    </row>
    <row r="7" spans="2:39" ht="16.5" customHeight="1">
      <c r="C7" s="426" t="s">
        <v>650</v>
      </c>
      <c r="D7" s="427">
        <v>21.7</v>
      </c>
      <c r="E7" s="427">
        <v>29.6</v>
      </c>
      <c r="F7" s="428">
        <v>43.7</v>
      </c>
    </row>
    <row r="8" spans="2:39" ht="16.5" customHeight="1">
      <c r="C8" s="424" t="s">
        <v>651</v>
      </c>
      <c r="D8" s="425">
        <v>21.2</v>
      </c>
      <c r="E8" s="425">
        <v>27.8</v>
      </c>
      <c r="F8" s="425">
        <v>39.1</v>
      </c>
    </row>
    <row r="9" spans="2:39" ht="16.5" customHeight="1">
      <c r="C9" s="426" t="s">
        <v>652</v>
      </c>
      <c r="D9" s="427">
        <v>24.2</v>
      </c>
      <c r="E9" s="427">
        <v>31.6</v>
      </c>
      <c r="F9" s="428">
        <v>49.3</v>
      </c>
    </row>
    <row r="10" spans="2:39" ht="16.5" customHeight="1">
      <c r="C10" s="424" t="s">
        <v>653</v>
      </c>
      <c r="D10" s="425">
        <v>35.1</v>
      </c>
      <c r="E10" s="425">
        <v>47.2</v>
      </c>
      <c r="F10" s="425">
        <v>61.3</v>
      </c>
    </row>
    <row r="11" spans="2:39" ht="16.5" customHeight="1">
      <c r="C11" s="426" t="s">
        <v>654</v>
      </c>
      <c r="D11" s="427">
        <v>24.2</v>
      </c>
      <c r="E11" s="427">
        <v>35.700000000000003</v>
      </c>
      <c r="F11" s="428">
        <v>48.4</v>
      </c>
    </row>
    <row r="12" spans="2:39" ht="16.5" customHeight="1">
      <c r="C12" s="424" t="s">
        <v>655</v>
      </c>
      <c r="D12" s="425">
        <v>26.7</v>
      </c>
      <c r="E12" s="425">
        <v>32</v>
      </c>
      <c r="F12" s="425">
        <v>47</v>
      </c>
    </row>
    <row r="13" spans="2:39" ht="16.5" customHeight="1">
      <c r="C13" s="426" t="s">
        <v>656</v>
      </c>
      <c r="D13" s="427">
        <v>27.7</v>
      </c>
      <c r="E13" s="427">
        <v>24</v>
      </c>
      <c r="F13" s="428">
        <v>36.200000000000003</v>
      </c>
    </row>
    <row r="14" spans="2:39" ht="16.5" customHeight="1">
      <c r="C14" s="424" t="s">
        <v>657</v>
      </c>
      <c r="D14" s="425">
        <v>34.200000000000003</v>
      </c>
      <c r="E14" s="425">
        <v>52.6</v>
      </c>
      <c r="F14" s="425">
        <v>59.7</v>
      </c>
    </row>
    <row r="15" spans="2:39" ht="16.5" customHeight="1">
      <c r="C15" s="426" t="s">
        <v>658</v>
      </c>
      <c r="D15" s="427">
        <v>20.100000000000001</v>
      </c>
      <c r="E15" s="427">
        <v>20.5</v>
      </c>
      <c r="F15" s="428">
        <v>36</v>
      </c>
    </row>
    <row r="16" spans="2:39" ht="16.5" customHeight="1">
      <c r="C16" s="424" t="s">
        <v>659</v>
      </c>
      <c r="D16" s="425">
        <v>19.7</v>
      </c>
      <c r="E16" s="425">
        <v>20.5</v>
      </c>
      <c r="F16" s="425">
        <v>30.2</v>
      </c>
    </row>
    <row r="17" spans="3:6" ht="16.5" customHeight="1">
      <c r="C17" s="426" t="s">
        <v>660</v>
      </c>
      <c r="D17" s="427">
        <v>36.1</v>
      </c>
      <c r="E17" s="427">
        <v>47.3</v>
      </c>
      <c r="F17" s="428">
        <v>61.5</v>
      </c>
    </row>
    <row r="18" spans="3:6" ht="16.5" customHeight="1">
      <c r="C18" s="424" t="s">
        <v>661</v>
      </c>
      <c r="D18" s="425">
        <v>12.2</v>
      </c>
      <c r="E18" s="425">
        <v>16.2</v>
      </c>
      <c r="F18" s="425">
        <v>24.4</v>
      </c>
    </row>
    <row r="19" spans="3:6" ht="16.5" customHeight="1">
      <c r="C19" s="426" t="s">
        <v>662</v>
      </c>
      <c r="D19" s="427">
        <v>17.3</v>
      </c>
      <c r="E19" s="427">
        <v>20</v>
      </c>
      <c r="F19" s="428">
        <v>32.4</v>
      </c>
    </row>
    <row r="20" spans="3:6" ht="16.5" customHeight="1">
      <c r="C20" s="424" t="s">
        <v>663</v>
      </c>
      <c r="D20" s="425">
        <v>20.399999999999999</v>
      </c>
      <c r="E20" s="425">
        <v>31.6</v>
      </c>
      <c r="F20" s="425">
        <v>33.6</v>
      </c>
    </row>
    <row r="21" spans="3:6" ht="16.5" customHeight="1">
      <c r="C21" s="426" t="s">
        <v>664</v>
      </c>
      <c r="D21" s="427">
        <v>16.5</v>
      </c>
      <c r="E21" s="427">
        <v>21.9</v>
      </c>
      <c r="F21" s="428">
        <v>33.700000000000003</v>
      </c>
    </row>
    <row r="22" spans="3:6" ht="16.5" customHeight="1">
      <c r="C22" s="424" t="s">
        <v>665</v>
      </c>
      <c r="D22" s="425">
        <v>17.899999999999999</v>
      </c>
      <c r="E22" s="425">
        <v>20.8</v>
      </c>
      <c r="F22" s="425">
        <v>40.6</v>
      </c>
    </row>
    <row r="23" spans="3:6" ht="16.5" customHeight="1">
      <c r="C23" s="426" t="s">
        <v>666</v>
      </c>
      <c r="D23" s="427">
        <v>14.9</v>
      </c>
      <c r="E23" s="427">
        <v>21</v>
      </c>
      <c r="F23" s="428">
        <v>35.5</v>
      </c>
    </row>
    <row r="24" spans="3:6" ht="6.75" customHeight="1">
      <c r="C24" s="424"/>
      <c r="D24" s="425"/>
      <c r="E24" s="425"/>
      <c r="F24" s="425"/>
    </row>
    <row r="25" spans="3:6" ht="16.5" customHeight="1">
      <c r="C25" s="429" t="s">
        <v>440</v>
      </c>
      <c r="D25" s="430">
        <v>19.8</v>
      </c>
      <c r="E25" s="430">
        <v>23.5</v>
      </c>
      <c r="F25" s="431">
        <v>34.9</v>
      </c>
    </row>
  </sheetData>
  <mergeCells count="1">
    <mergeCell ref="C1:AM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AM36"/>
  <sheetViews>
    <sheetView workbookViewId="0"/>
  </sheetViews>
  <sheetFormatPr defaultRowHeight="15"/>
  <cols>
    <col min="1" max="1" width="2.28515625" customWidth="1"/>
    <col min="2" max="2" width="5.7109375" customWidth="1"/>
    <col min="3" max="3" width="17.42578125" customWidth="1"/>
    <col min="7" max="7" width="14.570312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34</v>
      </c>
    </row>
    <row r="5" spans="2:39">
      <c r="C5" s="1163" t="s">
        <v>667</v>
      </c>
      <c r="D5" s="1166" t="s">
        <v>668</v>
      </c>
      <c r="E5" s="1160" t="s">
        <v>332</v>
      </c>
    </row>
    <row r="6" spans="2:39">
      <c r="C6" s="1164"/>
      <c r="D6" s="1167"/>
      <c r="E6" s="1161"/>
    </row>
    <row r="7" spans="2:39">
      <c r="C7" s="1165"/>
      <c r="D7" s="1168"/>
      <c r="E7" s="1162"/>
    </row>
    <row r="8" spans="2:39" ht="6.75" customHeight="1">
      <c r="C8" s="432"/>
      <c r="D8" s="433"/>
      <c r="E8" s="434"/>
    </row>
    <row r="9" spans="2:39">
      <c r="C9" s="1169" t="s">
        <v>669</v>
      </c>
      <c r="D9" s="437" t="s">
        <v>537</v>
      </c>
      <c r="E9" s="444">
        <v>52.5</v>
      </c>
    </row>
    <row r="10" spans="2:39">
      <c r="C10" s="1170"/>
      <c r="D10" s="438" t="s">
        <v>535</v>
      </c>
      <c r="E10" s="445">
        <v>57.3</v>
      </c>
    </row>
    <row r="11" spans="2:39">
      <c r="C11" s="1170"/>
      <c r="D11" s="439" t="s">
        <v>536</v>
      </c>
      <c r="E11" s="446">
        <v>48</v>
      </c>
    </row>
    <row r="12" spans="2:39" ht="6.75" customHeight="1">
      <c r="C12" s="436"/>
      <c r="D12" s="435"/>
      <c r="E12" s="447"/>
    </row>
    <row r="13" spans="2:39">
      <c r="C13" s="1171" t="s">
        <v>670</v>
      </c>
      <c r="D13" s="437" t="s">
        <v>537</v>
      </c>
      <c r="E13" s="444">
        <v>61.9</v>
      </c>
      <c r="G13" s="1159" t="s">
        <v>677</v>
      </c>
      <c r="H13" s="1157" t="s">
        <v>668</v>
      </c>
      <c r="I13" s="1158"/>
    </row>
    <row r="14" spans="2:39">
      <c r="C14" s="1172"/>
      <c r="D14" s="438" t="s">
        <v>535</v>
      </c>
      <c r="E14" s="445">
        <v>68.2</v>
      </c>
      <c r="G14" s="1159"/>
      <c r="H14" s="454" t="s">
        <v>535</v>
      </c>
      <c r="I14" s="455" t="s">
        <v>536</v>
      </c>
    </row>
    <row r="15" spans="2:39">
      <c r="C15" s="1172"/>
      <c r="D15" s="440" t="s">
        <v>536</v>
      </c>
      <c r="E15" s="448">
        <v>56</v>
      </c>
      <c r="G15" s="456" t="s">
        <v>626</v>
      </c>
      <c r="H15" s="457">
        <v>40.799999999999997</v>
      </c>
      <c r="I15" s="457">
        <v>37.5</v>
      </c>
    </row>
    <row r="16" spans="2:39">
      <c r="C16" s="1156" t="s">
        <v>671</v>
      </c>
      <c r="D16" s="443" t="s">
        <v>537</v>
      </c>
      <c r="E16" s="449">
        <v>39.200000000000003</v>
      </c>
      <c r="G16" s="456" t="s">
        <v>627</v>
      </c>
      <c r="H16" s="457">
        <v>92.3</v>
      </c>
      <c r="I16" s="457">
        <v>87.2</v>
      </c>
    </row>
    <row r="17" spans="3:9">
      <c r="C17" s="1154"/>
      <c r="D17" s="441" t="s">
        <v>535</v>
      </c>
      <c r="E17" s="450">
        <v>40.799999999999997</v>
      </c>
      <c r="G17" s="456" t="s">
        <v>628</v>
      </c>
      <c r="H17" s="457">
        <v>93.4</v>
      </c>
      <c r="I17" s="457">
        <v>86</v>
      </c>
    </row>
    <row r="18" spans="3:9">
      <c r="C18" s="1154"/>
      <c r="D18" s="442" t="s">
        <v>536</v>
      </c>
      <c r="E18" s="451">
        <v>37.5</v>
      </c>
      <c r="G18" s="456" t="s">
        <v>629</v>
      </c>
      <c r="H18" s="457">
        <v>78.3</v>
      </c>
      <c r="I18" s="457">
        <v>62.1</v>
      </c>
    </row>
    <row r="19" spans="3:9">
      <c r="C19" s="1154" t="s">
        <v>672</v>
      </c>
      <c r="D19" s="443" t="s">
        <v>537</v>
      </c>
      <c r="E19" s="449">
        <v>89.8</v>
      </c>
      <c r="G19" s="458" t="s">
        <v>316</v>
      </c>
      <c r="H19" s="459">
        <v>22.2</v>
      </c>
      <c r="I19" s="459">
        <v>13.3</v>
      </c>
    </row>
    <row r="20" spans="3:9">
      <c r="C20" s="1154"/>
      <c r="D20" s="441" t="s">
        <v>535</v>
      </c>
      <c r="E20" s="450">
        <v>92.3</v>
      </c>
    </row>
    <row r="21" spans="3:9">
      <c r="C21" s="1154"/>
      <c r="D21" s="442" t="s">
        <v>536</v>
      </c>
      <c r="E21" s="451">
        <v>87.2</v>
      </c>
    </row>
    <row r="22" spans="3:9">
      <c r="C22" s="1154" t="s">
        <v>673</v>
      </c>
      <c r="D22" s="443" t="s">
        <v>537</v>
      </c>
      <c r="E22" s="449">
        <v>89.7</v>
      </c>
    </row>
    <row r="23" spans="3:9">
      <c r="C23" s="1154"/>
      <c r="D23" s="441" t="s">
        <v>535</v>
      </c>
      <c r="E23" s="450">
        <v>93.4</v>
      </c>
    </row>
    <row r="24" spans="3:9">
      <c r="C24" s="1154"/>
      <c r="D24" s="442" t="s">
        <v>536</v>
      </c>
      <c r="E24" s="451">
        <v>86</v>
      </c>
    </row>
    <row r="25" spans="3:9">
      <c r="C25" s="1154" t="s">
        <v>674</v>
      </c>
      <c r="D25" s="443" t="s">
        <v>537</v>
      </c>
      <c r="E25" s="449">
        <v>69.900000000000006</v>
      </c>
    </row>
    <row r="26" spans="3:9">
      <c r="C26" s="1154"/>
      <c r="D26" s="441" t="s">
        <v>535</v>
      </c>
      <c r="E26" s="450">
        <v>78.3</v>
      </c>
    </row>
    <row r="27" spans="3:9">
      <c r="C27" s="1154"/>
      <c r="D27" s="442" t="s">
        <v>536</v>
      </c>
      <c r="E27" s="451">
        <v>62.1</v>
      </c>
    </row>
    <row r="28" spans="3:9">
      <c r="C28" s="1154" t="s">
        <v>675</v>
      </c>
      <c r="D28" s="443" t="s">
        <v>537</v>
      </c>
      <c r="E28" s="449">
        <v>17</v>
      </c>
    </row>
    <row r="29" spans="3:9">
      <c r="C29" s="1154"/>
      <c r="D29" s="441" t="s">
        <v>535</v>
      </c>
      <c r="E29" s="450">
        <v>22.2</v>
      </c>
    </row>
    <row r="30" spans="3:9">
      <c r="C30" s="1154"/>
      <c r="D30" s="442" t="s">
        <v>536</v>
      </c>
      <c r="E30" s="451">
        <v>13.3</v>
      </c>
    </row>
    <row r="31" spans="3:9">
      <c r="C31" s="1154" t="s">
        <v>676</v>
      </c>
      <c r="D31" s="443" t="s">
        <v>537</v>
      </c>
      <c r="E31" s="449">
        <v>73.7</v>
      </c>
    </row>
    <row r="32" spans="3:9">
      <c r="C32" s="1155"/>
      <c r="D32" s="441" t="s">
        <v>535</v>
      </c>
      <c r="E32" s="450">
        <v>78.5</v>
      </c>
    </row>
    <row r="33" spans="3:5">
      <c r="C33" s="1155"/>
      <c r="D33" s="441" t="s">
        <v>536</v>
      </c>
      <c r="E33" s="450">
        <v>69</v>
      </c>
    </row>
    <row r="36" spans="3:5">
      <c r="C36" s="452" t="s">
        <v>678</v>
      </c>
    </row>
  </sheetData>
  <mergeCells count="14">
    <mergeCell ref="C1:AM1"/>
    <mergeCell ref="C31:C33"/>
    <mergeCell ref="C16:C18"/>
    <mergeCell ref="C19:C21"/>
    <mergeCell ref="C22:C24"/>
    <mergeCell ref="C25:C27"/>
    <mergeCell ref="C28:C30"/>
    <mergeCell ref="H13:I13"/>
    <mergeCell ref="G13:G14"/>
    <mergeCell ref="E5:E7"/>
    <mergeCell ref="C5:C7"/>
    <mergeCell ref="D5:D7"/>
    <mergeCell ref="C9:C11"/>
    <mergeCell ref="C13:C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1:AM23"/>
  <sheetViews>
    <sheetView workbookViewId="0"/>
  </sheetViews>
  <sheetFormatPr defaultRowHeight="15"/>
  <cols>
    <col min="1" max="1" width="2.28515625" customWidth="1"/>
    <col min="2" max="2" width="5.7109375" customWidth="1"/>
    <col min="3" max="3" width="19.5703125" customWidth="1"/>
    <col min="4" max="7" width="10.710937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36</v>
      </c>
    </row>
    <row r="5" spans="2:39" ht="17.25" customHeight="1">
      <c r="C5" s="1173" t="s">
        <v>679</v>
      </c>
      <c r="D5" s="1173" t="s">
        <v>680</v>
      </c>
      <c r="E5" s="1175"/>
      <c r="F5" s="1176" t="s">
        <v>606</v>
      </c>
      <c r="G5" s="1177"/>
    </row>
    <row r="6" spans="2:39" ht="17.25" customHeight="1">
      <c r="C6" s="1174"/>
      <c r="D6" s="465" t="s">
        <v>471</v>
      </c>
      <c r="E6" s="466" t="s">
        <v>472</v>
      </c>
      <c r="F6" s="466" t="s">
        <v>471</v>
      </c>
      <c r="G6" s="466" t="s">
        <v>472</v>
      </c>
    </row>
    <row r="7" spans="2:39" ht="17.25" customHeight="1">
      <c r="C7" s="467" t="s">
        <v>681</v>
      </c>
      <c r="D7" s="468">
        <v>1143</v>
      </c>
      <c r="E7" s="468">
        <v>568</v>
      </c>
      <c r="F7" s="468">
        <v>1873</v>
      </c>
      <c r="G7" s="468">
        <v>680</v>
      </c>
    </row>
    <row r="8" spans="2:39" ht="17.25" customHeight="1">
      <c r="C8" s="471" t="s">
        <v>682</v>
      </c>
      <c r="D8" s="472">
        <v>999</v>
      </c>
      <c r="E8" s="472">
        <v>327</v>
      </c>
      <c r="F8" s="472">
        <v>1455</v>
      </c>
      <c r="G8" s="473">
        <v>473</v>
      </c>
    </row>
    <row r="9" spans="2:39" ht="17.25" customHeight="1">
      <c r="C9" s="467" t="s">
        <v>683</v>
      </c>
      <c r="D9" s="468">
        <v>652</v>
      </c>
      <c r="E9" s="468">
        <v>812</v>
      </c>
      <c r="F9" s="468">
        <v>474</v>
      </c>
      <c r="G9" s="468">
        <v>863</v>
      </c>
    </row>
    <row r="10" spans="2:39" ht="17.25" customHeight="1">
      <c r="C10" s="471" t="s">
        <v>684</v>
      </c>
      <c r="D10" s="472">
        <v>250</v>
      </c>
      <c r="E10" s="472">
        <v>102</v>
      </c>
      <c r="F10" s="472">
        <v>407</v>
      </c>
      <c r="G10" s="473">
        <v>158</v>
      </c>
    </row>
    <row r="11" spans="2:39" ht="17.25" customHeight="1">
      <c r="C11" s="467" t="s">
        <v>685</v>
      </c>
      <c r="D11" s="468">
        <v>58</v>
      </c>
      <c r="E11" s="468">
        <v>70</v>
      </c>
      <c r="F11" s="468">
        <v>98</v>
      </c>
      <c r="G11" s="468">
        <v>102</v>
      </c>
    </row>
    <row r="12" spans="2:39" ht="17.25" customHeight="1">
      <c r="C12" s="471" t="s">
        <v>686</v>
      </c>
      <c r="D12" s="472">
        <v>192</v>
      </c>
      <c r="E12" s="472">
        <v>50</v>
      </c>
      <c r="F12" s="472">
        <v>164</v>
      </c>
      <c r="G12" s="473">
        <v>59</v>
      </c>
    </row>
    <row r="13" spans="2:39" ht="17.25" customHeight="1">
      <c r="C13" s="469" t="s">
        <v>687</v>
      </c>
      <c r="D13" s="470">
        <v>133</v>
      </c>
      <c r="E13" s="470">
        <v>22</v>
      </c>
      <c r="F13" s="470">
        <v>120</v>
      </c>
      <c r="G13" s="470">
        <v>55</v>
      </c>
    </row>
    <row r="14" spans="2:39" s="453" customFormat="1" ht="6.75" customHeight="1">
      <c r="C14" s="460"/>
      <c r="D14" s="461"/>
      <c r="E14" s="461"/>
      <c r="F14" s="461"/>
      <c r="G14" s="461"/>
    </row>
    <row r="15" spans="2:39" ht="17.25" customHeight="1">
      <c r="C15" s="462" t="s">
        <v>474</v>
      </c>
      <c r="D15" s="463">
        <f>SUM(D7:D13)</f>
        <v>3427</v>
      </c>
      <c r="E15" s="463">
        <f>SUM(E7:E13)</f>
        <v>1951</v>
      </c>
      <c r="F15" s="463">
        <f>SUM(F7:F13)</f>
        <v>4591</v>
      </c>
      <c r="G15" s="464">
        <f>SUM(G7:G13)</f>
        <v>2390</v>
      </c>
    </row>
    <row r="20" spans="3:7">
      <c r="D20" s="2"/>
      <c r="E20" s="2"/>
      <c r="F20" s="2"/>
      <c r="G20" s="2"/>
    </row>
    <row r="23" spans="3:7">
      <c r="C23" s="2" t="s">
        <v>688</v>
      </c>
    </row>
  </sheetData>
  <mergeCells count="4">
    <mergeCell ref="C5:C6"/>
    <mergeCell ref="D5:E5"/>
    <mergeCell ref="F5:G5"/>
    <mergeCell ref="C1:AM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AP16"/>
  <sheetViews>
    <sheetView topLeftCell="Z1" workbookViewId="0">
      <selection activeCell="AQ20" sqref="AQ20"/>
    </sheetView>
  </sheetViews>
  <sheetFormatPr defaultRowHeight="15"/>
  <cols>
    <col min="1" max="1" width="2.28515625" customWidth="1"/>
    <col min="2" max="2" width="5.7109375" customWidth="1"/>
    <col min="3" max="3" width="11.7109375" customWidth="1"/>
    <col min="4" max="41" width="8.28515625" customWidth="1"/>
  </cols>
  <sheetData>
    <row r="1" spans="2:42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</row>
    <row r="2" spans="2:42">
      <c r="C2" s="1" t="s">
        <v>38</v>
      </c>
    </row>
    <row r="5" spans="2:42"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74"/>
      <c r="AK5" s="453"/>
      <c r="AL5" s="453"/>
      <c r="AM5" s="453"/>
      <c r="AN5" s="453"/>
      <c r="AO5" s="475" t="s">
        <v>332</v>
      </c>
    </row>
    <row r="6" spans="2:42">
      <c r="C6" s="1183" t="s">
        <v>689</v>
      </c>
      <c r="D6" s="1180" t="s">
        <v>690</v>
      </c>
      <c r="E6" s="1180" t="s">
        <v>691</v>
      </c>
      <c r="F6" s="1180" t="s">
        <v>692</v>
      </c>
      <c r="G6" s="1180" t="s">
        <v>693</v>
      </c>
      <c r="H6" s="1180" t="s">
        <v>694</v>
      </c>
      <c r="I6" s="1180" t="s">
        <v>695</v>
      </c>
      <c r="J6" s="1180" t="s">
        <v>696</v>
      </c>
      <c r="K6" s="1180" t="s">
        <v>697</v>
      </c>
      <c r="L6" s="1180" t="s">
        <v>698</v>
      </c>
      <c r="M6" s="1180" t="s">
        <v>699</v>
      </c>
      <c r="N6" s="1180" t="s">
        <v>700</v>
      </c>
      <c r="O6" s="1180" t="s">
        <v>701</v>
      </c>
      <c r="P6" s="1180" t="s">
        <v>702</v>
      </c>
      <c r="Q6" s="1180" t="s">
        <v>703</v>
      </c>
      <c r="R6" s="1180" t="s">
        <v>704</v>
      </c>
      <c r="S6" s="1180" t="s">
        <v>705</v>
      </c>
      <c r="T6" s="1180" t="s">
        <v>706</v>
      </c>
      <c r="U6" s="1180" t="s">
        <v>707</v>
      </c>
      <c r="V6" s="1180" t="s">
        <v>708</v>
      </c>
      <c r="W6" s="1180" t="s">
        <v>709</v>
      </c>
      <c r="X6" s="1180" t="s">
        <v>710</v>
      </c>
      <c r="Y6" s="1180" t="s">
        <v>711</v>
      </c>
      <c r="Z6" s="1180" t="s">
        <v>712</v>
      </c>
      <c r="AA6" s="1180" t="s">
        <v>713</v>
      </c>
      <c r="AB6" s="1180" t="s">
        <v>584</v>
      </c>
      <c r="AC6" s="1180" t="s">
        <v>680</v>
      </c>
      <c r="AD6" s="1180" t="s">
        <v>714</v>
      </c>
      <c r="AE6" s="1180" t="s">
        <v>715</v>
      </c>
      <c r="AF6" s="1180" t="s">
        <v>716</v>
      </c>
      <c r="AG6" s="1180" t="s">
        <v>446</v>
      </c>
      <c r="AH6" s="1180" t="s">
        <v>447</v>
      </c>
      <c r="AI6" s="1180" t="s">
        <v>448</v>
      </c>
      <c r="AJ6" s="1180" t="s">
        <v>449</v>
      </c>
      <c r="AK6" s="1180" t="s">
        <v>450</v>
      </c>
      <c r="AL6" s="1180" t="s">
        <v>451</v>
      </c>
      <c r="AM6" s="1180" t="s">
        <v>452</v>
      </c>
      <c r="AN6" s="1180" t="s">
        <v>453</v>
      </c>
      <c r="AO6" s="1180" t="s">
        <v>454</v>
      </c>
    </row>
    <row r="7" spans="2:42">
      <c r="C7" s="1183"/>
      <c r="D7" s="1181"/>
      <c r="E7" s="1181"/>
      <c r="F7" s="1181"/>
      <c r="G7" s="1181"/>
      <c r="H7" s="1181"/>
      <c r="I7" s="1182"/>
      <c r="J7" s="1182"/>
      <c r="K7" s="1181"/>
      <c r="L7" s="1181"/>
      <c r="M7" s="1181"/>
      <c r="N7" s="1182"/>
      <c r="O7" s="1182"/>
      <c r="P7" s="1182"/>
      <c r="Q7" s="1182"/>
      <c r="R7" s="1182"/>
      <c r="S7" s="1181"/>
      <c r="T7" s="1181"/>
      <c r="U7" s="1181"/>
      <c r="V7" s="1181"/>
      <c r="W7" s="1181"/>
      <c r="X7" s="1182"/>
      <c r="Y7" s="1182"/>
      <c r="Z7" s="1182"/>
      <c r="AA7" s="1182"/>
      <c r="AB7" s="1181"/>
      <c r="AC7" s="1181"/>
      <c r="AD7" s="1181"/>
      <c r="AE7" s="1181"/>
      <c r="AF7" s="1181"/>
      <c r="AG7" s="1181"/>
      <c r="AH7" s="1181"/>
      <c r="AI7" s="1181"/>
      <c r="AJ7" s="1181"/>
      <c r="AK7" s="1181"/>
      <c r="AL7" s="1181"/>
      <c r="AM7" s="1181"/>
      <c r="AN7" s="1181"/>
      <c r="AO7" s="1181"/>
    </row>
    <row r="8" spans="2:42">
      <c r="C8" s="390" t="s">
        <v>591</v>
      </c>
      <c r="D8" s="476">
        <v>0</v>
      </c>
      <c r="E8" s="476">
        <v>0</v>
      </c>
      <c r="F8" s="476">
        <v>0</v>
      </c>
      <c r="G8" s="476">
        <v>0</v>
      </c>
      <c r="H8" s="476">
        <v>0</v>
      </c>
      <c r="I8" s="476">
        <v>0</v>
      </c>
      <c r="J8" s="476">
        <v>10.488267361934108</v>
      </c>
      <c r="K8" s="476">
        <v>10.772151159394895</v>
      </c>
      <c r="L8" s="476">
        <v>10.277602884780492</v>
      </c>
      <c r="M8" s="476">
        <v>11.149162426390715</v>
      </c>
      <c r="N8" s="476">
        <v>13.532729977684104</v>
      </c>
      <c r="O8" s="476">
        <v>16.280818782290236</v>
      </c>
      <c r="P8" s="476">
        <v>16.404851101657247</v>
      </c>
      <c r="Q8" s="476">
        <v>18.280281107895824</v>
      </c>
      <c r="R8" s="476">
        <v>18.016920473773265</v>
      </c>
      <c r="S8" s="476">
        <v>20.444642979863929</v>
      </c>
      <c r="T8" s="476">
        <v>21.974142940151076</v>
      </c>
      <c r="U8" s="476">
        <v>24.946389742820724</v>
      </c>
      <c r="V8" s="476">
        <v>29.914089347079038</v>
      </c>
      <c r="W8" s="476">
        <v>34.074947589098528</v>
      </c>
      <c r="X8" s="476">
        <v>38.187096774193549</v>
      </c>
      <c r="Y8" s="476">
        <v>44.51714801444043</v>
      </c>
      <c r="Z8" s="476">
        <v>43.359246986855041</v>
      </c>
      <c r="AA8" s="476">
        <v>47.514001388567465</v>
      </c>
      <c r="AB8" s="476">
        <v>43.167191749468188</v>
      </c>
      <c r="AC8" s="476">
        <v>45.066037993464469</v>
      </c>
      <c r="AD8" s="476">
        <v>50.016158668895031</v>
      </c>
      <c r="AE8" s="476">
        <v>55.34657650042265</v>
      </c>
      <c r="AF8" s="476">
        <v>56.610964807277952</v>
      </c>
      <c r="AG8" s="476">
        <v>58.620722524068249</v>
      </c>
      <c r="AH8" s="476">
        <v>62.775564665841586</v>
      </c>
      <c r="AI8" s="476">
        <v>63.063569495788705</v>
      </c>
      <c r="AJ8" s="476">
        <v>60.840721848189553</v>
      </c>
      <c r="AK8" s="476">
        <v>63.924654268001916</v>
      </c>
      <c r="AL8" s="476">
        <v>61.358963538907695</v>
      </c>
      <c r="AM8" s="476">
        <v>63.081554945541484</v>
      </c>
      <c r="AN8" s="476">
        <v>62.952840924364473</v>
      </c>
      <c r="AO8" s="477">
        <v>63</v>
      </c>
    </row>
    <row r="9" spans="2:42">
      <c r="C9" s="478" t="s">
        <v>592</v>
      </c>
      <c r="D9" s="479">
        <v>2.1334330875105398</v>
      </c>
      <c r="E9" s="479">
        <v>2.3433167788915634</v>
      </c>
      <c r="F9" s="479">
        <v>2.7219134242883611</v>
      </c>
      <c r="G9" s="479">
        <v>7.6459766437370025</v>
      </c>
      <c r="H9" s="479">
        <v>6.5038037775445963</v>
      </c>
      <c r="I9" s="479">
        <v>6.1755787509475777</v>
      </c>
      <c r="J9" s="479">
        <v>11.42417735476757</v>
      </c>
      <c r="K9" s="479">
        <v>12.347156398104266</v>
      </c>
      <c r="L9" s="479">
        <v>12.563878193909694</v>
      </c>
      <c r="M9" s="479">
        <v>14.529489159659059</v>
      </c>
      <c r="N9" s="479">
        <v>18.286841036942526</v>
      </c>
      <c r="O9" s="479">
        <v>22.366592206502855</v>
      </c>
      <c r="P9" s="479">
        <v>23.580545918701315</v>
      </c>
      <c r="Q9" s="479">
        <v>23.096087676819167</v>
      </c>
      <c r="R9" s="479">
        <v>24.386376172090458</v>
      </c>
      <c r="S9" s="479">
        <v>26.949383472988625</v>
      </c>
      <c r="T9" s="479">
        <v>30.529056446573634</v>
      </c>
      <c r="U9" s="479">
        <v>34.717774662436362</v>
      </c>
      <c r="V9" s="479">
        <v>38.140068886337545</v>
      </c>
      <c r="W9" s="479">
        <v>42.680918316419898</v>
      </c>
      <c r="X9" s="479">
        <v>49.830721003134798</v>
      </c>
      <c r="Y9" s="479">
        <v>53.867773756819815</v>
      </c>
      <c r="Z9" s="479">
        <v>55.391363276985054</v>
      </c>
      <c r="AA9" s="479">
        <v>54.492494247415898</v>
      </c>
      <c r="AB9" s="479">
        <v>55.094769185207127</v>
      </c>
      <c r="AC9" s="479">
        <v>56.029872015729708</v>
      </c>
      <c r="AD9" s="479">
        <v>61.69088022319913</v>
      </c>
      <c r="AE9" s="479">
        <v>66.05543152329264</v>
      </c>
      <c r="AF9" s="479">
        <v>70.804236499068907</v>
      </c>
      <c r="AG9" s="479">
        <v>72.345500889722501</v>
      </c>
      <c r="AH9" s="479">
        <v>78.352977428549423</v>
      </c>
      <c r="AI9" s="479">
        <v>81.372568017983099</v>
      </c>
      <c r="AJ9" s="479">
        <v>81.861140015083095</v>
      </c>
      <c r="AK9" s="479">
        <v>79.901582227330692</v>
      </c>
      <c r="AL9" s="479">
        <v>83.967578595256256</v>
      </c>
      <c r="AM9" s="479">
        <v>80.6401986451108</v>
      </c>
      <c r="AN9" s="479">
        <v>80.872708631631056</v>
      </c>
      <c r="AO9" s="480">
        <v>81.3</v>
      </c>
    </row>
    <row r="10" spans="2:42">
      <c r="C10" s="390" t="s">
        <v>717</v>
      </c>
      <c r="D10" s="476">
        <v>4.1666184084038864</v>
      </c>
      <c r="E10" s="476">
        <v>4.5345416029186767</v>
      </c>
      <c r="F10" s="476">
        <v>4.782928173412528</v>
      </c>
      <c r="G10" s="476">
        <v>9.2257705161529895</v>
      </c>
      <c r="H10" s="476">
        <v>10.685804280907723</v>
      </c>
      <c r="I10" s="476">
        <v>9.9783348808418459</v>
      </c>
      <c r="J10" s="476">
        <v>9.7905421262614407</v>
      </c>
      <c r="K10" s="476">
        <v>10.827774232844133</v>
      </c>
      <c r="L10" s="476">
        <v>13.607692307692307</v>
      </c>
      <c r="M10" s="476">
        <v>16.9075346453942</v>
      </c>
      <c r="N10" s="476">
        <v>21.270576131687243</v>
      </c>
      <c r="O10" s="476">
        <v>25.01537390497186</v>
      </c>
      <c r="P10" s="476">
        <v>27.034829577202458</v>
      </c>
      <c r="Q10" s="476">
        <v>27.604480545001962</v>
      </c>
      <c r="R10" s="476">
        <v>26.217768700536126</v>
      </c>
      <c r="S10" s="476">
        <v>32.745449531163814</v>
      </c>
      <c r="T10" s="476">
        <v>37.510307861462344</v>
      </c>
      <c r="U10" s="476">
        <v>41.683335681081843</v>
      </c>
      <c r="V10" s="476">
        <v>44.835592839487681</v>
      </c>
      <c r="W10" s="476">
        <v>47.577610536218252</v>
      </c>
      <c r="X10" s="476">
        <v>52.750084488002699</v>
      </c>
      <c r="Y10" s="476">
        <v>56.356793509617518</v>
      </c>
      <c r="Z10" s="476">
        <v>59.597423805941396</v>
      </c>
      <c r="AA10" s="476">
        <v>60.800299527308468</v>
      </c>
      <c r="AB10" s="476">
        <v>63.216943957968475</v>
      </c>
      <c r="AC10" s="476">
        <v>66.09174751467242</v>
      </c>
      <c r="AD10" s="476">
        <v>68.258282391396605</v>
      </c>
      <c r="AE10" s="476">
        <v>75.747581759557804</v>
      </c>
      <c r="AF10" s="476">
        <v>78.343290872881681</v>
      </c>
      <c r="AG10" s="476">
        <v>84.104921737267091</v>
      </c>
      <c r="AH10" s="476">
        <v>83.330135461836591</v>
      </c>
      <c r="AI10" s="476">
        <v>84.674215811086327</v>
      </c>
      <c r="AJ10" s="476">
        <v>87.674358159817473</v>
      </c>
      <c r="AK10" s="476">
        <v>87.691592244251055</v>
      </c>
      <c r="AL10" s="476">
        <v>87.091551500514328</v>
      </c>
      <c r="AM10" s="476">
        <v>89.701206718038463</v>
      </c>
      <c r="AN10" s="476">
        <v>89.218009478672982</v>
      </c>
      <c r="AO10" s="477">
        <v>92</v>
      </c>
    </row>
    <row r="11" spans="2:42">
      <c r="C11" s="478"/>
      <c r="D11" s="48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</row>
    <row r="12" spans="2:42">
      <c r="C12" s="390" t="s">
        <v>718</v>
      </c>
      <c r="D12" s="482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482"/>
      <c r="P12" s="482"/>
      <c r="Q12" s="482"/>
      <c r="R12" s="482"/>
      <c r="S12" s="482"/>
      <c r="T12" s="482"/>
      <c r="U12" s="482"/>
      <c r="V12" s="482"/>
      <c r="W12" s="482"/>
      <c r="X12" s="482"/>
      <c r="Y12" s="482"/>
      <c r="Z12" s="482"/>
      <c r="AA12" s="482"/>
      <c r="AB12" s="482"/>
      <c r="AC12" s="482"/>
      <c r="AD12" s="483"/>
      <c r="AE12" s="484">
        <v>70.935199743971495</v>
      </c>
      <c r="AF12" s="484">
        <v>74.633988050926703</v>
      </c>
      <c r="AG12" s="484">
        <v>78.188276743195601</v>
      </c>
      <c r="AH12" s="484">
        <v>80.846196728244394</v>
      </c>
      <c r="AI12" s="484">
        <v>83.033431401345396</v>
      </c>
      <c r="AJ12" s="484">
        <v>84.755600717045198</v>
      </c>
      <c r="AK12" s="484">
        <v>83.688846439562795</v>
      </c>
      <c r="AL12" s="484">
        <v>85.551813389299596</v>
      </c>
      <c r="AM12" s="484">
        <v>85.129282951718594</v>
      </c>
      <c r="AN12" s="484">
        <v>85.013137385882899</v>
      </c>
      <c r="AO12" s="485">
        <v>86.658602533086693</v>
      </c>
    </row>
    <row r="16" spans="2:42" ht="20.25" customHeight="1">
      <c r="C16" s="1178" t="s">
        <v>719</v>
      </c>
      <c r="D16" s="1179"/>
      <c r="E16" s="1179"/>
      <c r="F16" s="1179"/>
      <c r="G16" s="1179"/>
      <c r="H16" s="1179"/>
      <c r="I16" s="1179"/>
      <c r="J16" s="1087"/>
      <c r="K16" s="1087"/>
      <c r="L16" s="1087"/>
      <c r="M16" s="1087"/>
      <c r="N16" s="1087"/>
      <c r="O16" s="1087"/>
      <c r="P16" s="1087"/>
      <c r="Q16" s="1087"/>
    </row>
  </sheetData>
  <mergeCells count="41">
    <mergeCell ref="M6:M7"/>
    <mergeCell ref="N6:N7"/>
    <mergeCell ref="O6:O7"/>
    <mergeCell ref="P6:P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Q6:Q7"/>
    <mergeCell ref="R6:R7"/>
    <mergeCell ref="S6:S7"/>
    <mergeCell ref="T6:T7"/>
    <mergeCell ref="U6:U7"/>
    <mergeCell ref="AE6:AE7"/>
    <mergeCell ref="V6:V7"/>
    <mergeCell ref="W6:W7"/>
    <mergeCell ref="X6:X7"/>
    <mergeCell ref="Y6:Y7"/>
    <mergeCell ref="Z6:Z7"/>
    <mergeCell ref="C1:AP1"/>
    <mergeCell ref="C16:Q16"/>
    <mergeCell ref="AK6:AK7"/>
    <mergeCell ref="AL6:AL7"/>
    <mergeCell ref="AM6:AM7"/>
    <mergeCell ref="AN6:AN7"/>
    <mergeCell ref="AO6:AO7"/>
    <mergeCell ref="AF6:AF7"/>
    <mergeCell ref="AG6:AG7"/>
    <mergeCell ref="AH6:AH7"/>
    <mergeCell ref="AI6:AI7"/>
    <mergeCell ref="AJ6:AJ7"/>
    <mergeCell ref="AA6:AA7"/>
    <mergeCell ref="AB6:AB7"/>
    <mergeCell ref="AC6:AC7"/>
    <mergeCell ref="AD6:AD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1.7109375" customWidth="1"/>
    <col min="4" max="4" width="0.85546875" customWidth="1"/>
    <col min="5" max="7" width="12.7109375" customWidth="1"/>
    <col min="8" max="8" width="0.5703125" customWidth="1"/>
    <col min="9" max="11" width="12.7109375" customWidth="1"/>
    <col min="12" max="12" width="0.85546875" customWidth="1"/>
    <col min="13" max="13" width="12.710937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40</v>
      </c>
    </row>
    <row r="5" spans="2:39" ht="20.25" customHeight="1">
      <c r="C5" s="486" t="s">
        <v>720</v>
      </c>
      <c r="D5" s="487"/>
      <c r="E5" s="1186" t="s">
        <v>471</v>
      </c>
      <c r="F5" s="1187"/>
      <c r="G5" s="1188"/>
      <c r="H5" s="488"/>
      <c r="I5" s="1186" t="s">
        <v>472</v>
      </c>
      <c r="J5" s="1187"/>
      <c r="K5" s="1188"/>
      <c r="L5" s="2"/>
      <c r="M5" s="1189" t="s">
        <v>721</v>
      </c>
    </row>
    <row r="6" spans="2:39">
      <c r="C6" s="1191" t="s">
        <v>441</v>
      </c>
      <c r="D6" s="489"/>
      <c r="E6" s="1193" t="s">
        <v>469</v>
      </c>
      <c r="F6" s="1195" t="s">
        <v>722</v>
      </c>
      <c r="G6" s="1197" t="s">
        <v>723</v>
      </c>
      <c r="H6" s="490"/>
      <c r="I6" s="1199" t="s">
        <v>469</v>
      </c>
      <c r="J6" s="1201" t="s">
        <v>722</v>
      </c>
      <c r="K6" s="1197" t="s">
        <v>723</v>
      </c>
      <c r="L6" s="2"/>
      <c r="M6" s="1190"/>
    </row>
    <row r="7" spans="2:39" ht="24" customHeight="1">
      <c r="C7" s="1192"/>
      <c r="D7" s="491"/>
      <c r="E7" s="1194"/>
      <c r="F7" s="1196"/>
      <c r="G7" s="1198"/>
      <c r="H7" s="492"/>
      <c r="I7" s="1200"/>
      <c r="J7" s="1202"/>
      <c r="K7" s="1198"/>
      <c r="L7" s="2"/>
      <c r="M7" s="1190"/>
    </row>
    <row r="8" spans="2:39" ht="4.5" customHeight="1">
      <c r="C8" s="491"/>
      <c r="D8" s="491"/>
      <c r="E8" s="492"/>
      <c r="F8" s="492"/>
      <c r="G8" s="492"/>
      <c r="H8" s="492"/>
      <c r="I8" s="493"/>
      <c r="J8" s="493"/>
      <c r="K8" s="492"/>
      <c r="L8" s="2"/>
      <c r="M8" s="492"/>
    </row>
    <row r="9" spans="2:39" ht="17.25" customHeight="1">
      <c r="C9" s="494" t="s">
        <v>680</v>
      </c>
      <c r="D9" s="495"/>
      <c r="E9" s="496">
        <v>82828</v>
      </c>
      <c r="F9" s="497">
        <v>77328</v>
      </c>
      <c r="G9" s="498">
        <v>5500</v>
      </c>
      <c r="H9" s="499"/>
      <c r="I9" s="500">
        <v>108195</v>
      </c>
      <c r="J9" s="501">
        <v>34800</v>
      </c>
      <c r="K9" s="502">
        <v>73395</v>
      </c>
      <c r="L9" s="2"/>
      <c r="M9" s="503">
        <f>E9+I9</f>
        <v>191023</v>
      </c>
    </row>
    <row r="10" spans="2:39" ht="17.25" customHeight="1">
      <c r="C10" s="495" t="s">
        <v>714</v>
      </c>
      <c r="D10" s="495"/>
      <c r="E10" s="504">
        <v>94530</v>
      </c>
      <c r="F10" s="505">
        <v>89907</v>
      </c>
      <c r="G10" s="505">
        <v>4623</v>
      </c>
      <c r="H10" s="499"/>
      <c r="I10" s="506">
        <v>105960</v>
      </c>
      <c r="J10" s="507">
        <v>34923</v>
      </c>
      <c r="K10" s="507">
        <v>71037</v>
      </c>
      <c r="L10" s="2"/>
      <c r="M10" s="508">
        <f t="shared" ref="M10:M21" si="0">E10+I10</f>
        <v>200490</v>
      </c>
    </row>
    <row r="11" spans="2:39" ht="17.25" customHeight="1">
      <c r="C11" s="509" t="s">
        <v>715</v>
      </c>
      <c r="D11" s="495"/>
      <c r="E11" s="510">
        <v>100753</v>
      </c>
      <c r="F11" s="511">
        <v>95167</v>
      </c>
      <c r="G11" s="512">
        <v>5586</v>
      </c>
      <c r="H11" s="499"/>
      <c r="I11" s="513">
        <v>114526</v>
      </c>
      <c r="J11" s="514">
        <v>42963</v>
      </c>
      <c r="K11" s="515">
        <v>71563</v>
      </c>
      <c r="L11" s="2"/>
      <c r="M11" s="508">
        <f t="shared" si="0"/>
        <v>215279</v>
      </c>
    </row>
    <row r="12" spans="2:39" ht="17.25" customHeight="1">
      <c r="C12" s="495" t="s">
        <v>716</v>
      </c>
      <c r="D12" s="495"/>
      <c r="E12" s="504">
        <v>105517</v>
      </c>
      <c r="F12" s="505">
        <v>99575</v>
      </c>
      <c r="G12" s="505">
        <v>5942</v>
      </c>
      <c r="H12" s="499"/>
      <c r="I12" s="506">
        <v>115258</v>
      </c>
      <c r="J12" s="507">
        <v>44165</v>
      </c>
      <c r="K12" s="507">
        <v>71093</v>
      </c>
      <c r="L12" s="2"/>
      <c r="M12" s="508">
        <f t="shared" si="0"/>
        <v>220775</v>
      </c>
    </row>
    <row r="13" spans="2:39" ht="17.25" customHeight="1">
      <c r="C13" s="509" t="s">
        <v>446</v>
      </c>
      <c r="D13" s="495"/>
      <c r="E13" s="510">
        <v>113644</v>
      </c>
      <c r="F13" s="511">
        <v>107418</v>
      </c>
      <c r="G13" s="512">
        <v>6226</v>
      </c>
      <c r="H13" s="499"/>
      <c r="I13" s="513">
        <v>114815</v>
      </c>
      <c r="J13" s="514">
        <v>44316</v>
      </c>
      <c r="K13" s="515">
        <v>70499</v>
      </c>
      <c r="L13" s="2"/>
      <c r="M13" s="508">
        <f t="shared" si="0"/>
        <v>228459</v>
      </c>
    </row>
    <row r="14" spans="2:39" ht="17.25" customHeight="1">
      <c r="C14" s="495" t="s">
        <v>447</v>
      </c>
      <c r="D14" s="495"/>
      <c r="E14" s="504">
        <v>117226</v>
      </c>
      <c r="F14" s="505">
        <v>111932</v>
      </c>
      <c r="G14" s="505">
        <v>5294</v>
      </c>
      <c r="H14" s="499"/>
      <c r="I14" s="506">
        <v>118384</v>
      </c>
      <c r="J14" s="507">
        <v>43318</v>
      </c>
      <c r="K14" s="507">
        <v>75066</v>
      </c>
      <c r="L14" s="2"/>
      <c r="M14" s="508">
        <f t="shared" si="0"/>
        <v>235610</v>
      </c>
    </row>
    <row r="15" spans="2:39" ht="17.25" customHeight="1">
      <c r="C15" s="509" t="s">
        <v>448</v>
      </c>
      <c r="D15" s="495"/>
      <c r="E15" s="510">
        <v>123060</v>
      </c>
      <c r="F15" s="511">
        <v>118177</v>
      </c>
      <c r="G15" s="512">
        <v>4883</v>
      </c>
      <c r="H15" s="499"/>
      <c r="I15" s="513">
        <v>118228</v>
      </c>
      <c r="J15" s="514">
        <v>44521</v>
      </c>
      <c r="K15" s="515">
        <v>73707</v>
      </c>
      <c r="L15" s="2"/>
      <c r="M15" s="508">
        <f t="shared" si="0"/>
        <v>241288</v>
      </c>
    </row>
    <row r="16" spans="2:39" ht="17.25" customHeight="1">
      <c r="C16" s="495" t="s">
        <v>449</v>
      </c>
      <c r="D16" s="495"/>
      <c r="E16" s="504">
        <v>127688</v>
      </c>
      <c r="F16" s="505">
        <v>122601</v>
      </c>
      <c r="G16" s="505">
        <v>5087</v>
      </c>
      <c r="H16" s="499"/>
      <c r="I16" s="506">
        <v>119833</v>
      </c>
      <c r="J16" s="507">
        <v>45326</v>
      </c>
      <c r="K16" s="507">
        <v>74507</v>
      </c>
      <c r="L16" s="2"/>
      <c r="M16" s="508">
        <f t="shared" si="0"/>
        <v>247521</v>
      </c>
    </row>
    <row r="17" spans="3:13" ht="17.25" customHeight="1">
      <c r="C17" s="509" t="s">
        <v>450</v>
      </c>
      <c r="D17" s="495"/>
      <c r="E17" s="510">
        <v>133353</v>
      </c>
      <c r="F17" s="511">
        <v>128448</v>
      </c>
      <c r="G17" s="512">
        <v>4905</v>
      </c>
      <c r="H17" s="499"/>
      <c r="I17" s="513">
        <v>120282</v>
      </c>
      <c r="J17" s="514">
        <v>45410</v>
      </c>
      <c r="K17" s="515">
        <v>74872</v>
      </c>
      <c r="L17" s="2"/>
      <c r="M17" s="508">
        <f t="shared" si="0"/>
        <v>253635</v>
      </c>
    </row>
    <row r="18" spans="3:13" ht="17.25" customHeight="1">
      <c r="C18" s="495" t="s">
        <v>451</v>
      </c>
      <c r="D18" s="495"/>
      <c r="E18" s="504">
        <v>137297</v>
      </c>
      <c r="F18" s="505">
        <v>132297</v>
      </c>
      <c r="G18" s="505">
        <v>5000</v>
      </c>
      <c r="H18" s="499"/>
      <c r="I18" s="506">
        <v>122491</v>
      </c>
      <c r="J18" s="507">
        <v>46041</v>
      </c>
      <c r="K18" s="507">
        <v>76450</v>
      </c>
      <c r="L18" s="2"/>
      <c r="M18" s="508">
        <f t="shared" si="0"/>
        <v>259788</v>
      </c>
    </row>
    <row r="19" spans="3:13" ht="17.25" customHeight="1">
      <c r="C19" s="509" t="s">
        <v>452</v>
      </c>
      <c r="D19" s="495"/>
      <c r="E19" s="510">
        <v>139412</v>
      </c>
      <c r="F19" s="511">
        <v>134456</v>
      </c>
      <c r="G19" s="512">
        <v>4956</v>
      </c>
      <c r="H19" s="499"/>
      <c r="I19" s="513">
        <v>122590</v>
      </c>
      <c r="J19" s="514">
        <v>45606</v>
      </c>
      <c r="K19" s="515">
        <v>76984</v>
      </c>
      <c r="L19" s="2"/>
      <c r="M19" s="508">
        <f t="shared" si="0"/>
        <v>262002</v>
      </c>
    </row>
    <row r="20" spans="3:13" ht="17.25" customHeight="1">
      <c r="C20" s="495" t="s">
        <v>724</v>
      </c>
      <c r="D20" s="495"/>
      <c r="E20" s="504">
        <v>138168</v>
      </c>
      <c r="F20" s="505">
        <v>134236</v>
      </c>
      <c r="G20" s="505">
        <v>3932</v>
      </c>
      <c r="H20" s="499"/>
      <c r="I20" s="506">
        <v>125719</v>
      </c>
      <c r="J20" s="507">
        <v>46151</v>
      </c>
      <c r="K20" s="507">
        <v>79568</v>
      </c>
      <c r="L20" s="2"/>
      <c r="M20" s="508">
        <f t="shared" si="0"/>
        <v>263887</v>
      </c>
    </row>
    <row r="21" spans="3:13" ht="17.25" customHeight="1">
      <c r="C21" s="509" t="s">
        <v>454</v>
      </c>
      <c r="D21" s="495"/>
      <c r="E21" s="510">
        <v>141854</v>
      </c>
      <c r="F21" s="511">
        <v>138583</v>
      </c>
      <c r="G21" s="512">
        <v>3271</v>
      </c>
      <c r="H21" s="499"/>
      <c r="I21" s="513">
        <v>124304</v>
      </c>
      <c r="J21" s="514">
        <v>44563</v>
      </c>
      <c r="K21" s="515">
        <v>79741</v>
      </c>
      <c r="L21" s="2"/>
      <c r="M21" s="516">
        <f t="shared" si="0"/>
        <v>266158</v>
      </c>
    </row>
    <row r="24" spans="3:13">
      <c r="C24" s="1184" t="s">
        <v>725</v>
      </c>
      <c r="D24" s="1185"/>
      <c r="E24" s="1185"/>
      <c r="F24" s="1185"/>
    </row>
  </sheetData>
  <mergeCells count="12">
    <mergeCell ref="C1:AM1"/>
    <mergeCell ref="C24:F24"/>
    <mergeCell ref="E5:G5"/>
    <mergeCell ref="I5:K5"/>
    <mergeCell ref="M5:M7"/>
    <mergeCell ref="C6:C7"/>
    <mergeCell ref="E6:E7"/>
    <mergeCell ref="F6:F7"/>
    <mergeCell ref="G6:G7"/>
    <mergeCell ref="I6:I7"/>
    <mergeCell ref="J6:J7"/>
    <mergeCell ref="K6:K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AM22"/>
  <sheetViews>
    <sheetView workbookViewId="0"/>
  </sheetViews>
  <sheetFormatPr defaultRowHeight="15"/>
  <cols>
    <col min="1" max="1" width="2.28515625" customWidth="1"/>
    <col min="2" max="2" width="5.7109375" customWidth="1"/>
    <col min="3" max="3" width="14.7109375" customWidth="1"/>
    <col min="4" max="4" width="0.5703125" customWidth="1"/>
    <col min="10" max="10" width="0.5703125" customWidth="1"/>
  </cols>
  <sheetData>
    <row r="1" spans="2:39">
      <c r="B1" s="37"/>
      <c r="C1" s="1153" t="s">
        <v>29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42</v>
      </c>
    </row>
    <row r="5" spans="2:39">
      <c r="C5" s="357" t="s">
        <v>726</v>
      </c>
      <c r="D5" s="488"/>
      <c r="E5" s="391" t="s">
        <v>727</v>
      </c>
      <c r="F5" s="420" t="s">
        <v>728</v>
      </c>
      <c r="G5" s="420" t="s">
        <v>729</v>
      </c>
      <c r="H5" s="420" t="s">
        <v>730</v>
      </c>
      <c r="I5" s="111" t="s">
        <v>731</v>
      </c>
      <c r="J5" s="3"/>
      <c r="K5" s="357" t="s">
        <v>732</v>
      </c>
    </row>
    <row r="6" spans="2:39">
      <c r="C6" s="517" t="s">
        <v>591</v>
      </c>
      <c r="D6" s="518"/>
      <c r="E6" s="519">
        <f>6910%/100</f>
        <v>0.69099999999999995</v>
      </c>
      <c r="F6" s="519">
        <f>1910%/100</f>
        <v>0.191</v>
      </c>
      <c r="G6" s="519">
        <f>4770%/100</f>
        <v>0.47700000000000004</v>
      </c>
      <c r="H6" s="519">
        <f>870%/100</f>
        <v>8.6999999999999994E-2</v>
      </c>
      <c r="I6" s="520">
        <f>1680%/100</f>
        <v>0.16800000000000001</v>
      </c>
      <c r="J6" s="2"/>
      <c r="K6" s="521">
        <f>2520%/100</f>
        <v>0.252</v>
      </c>
    </row>
    <row r="7" spans="2:39">
      <c r="C7" s="522" t="s">
        <v>592</v>
      </c>
      <c r="D7" s="523"/>
      <c r="E7" s="524">
        <f>2820%/100</f>
        <v>0.28199999999999997</v>
      </c>
      <c r="F7" s="524">
        <f>1830%/100</f>
        <v>0.183</v>
      </c>
      <c r="G7" s="524">
        <f>2960%/100</f>
        <v>0.29600000000000004</v>
      </c>
      <c r="H7" s="524">
        <f>620%/100</f>
        <v>6.2E-2</v>
      </c>
      <c r="I7" s="524">
        <f>440%/100</f>
        <v>4.4000000000000004E-2</v>
      </c>
      <c r="J7" s="2"/>
      <c r="K7" s="525">
        <f>1370%/100</f>
        <v>0.13699999999999998</v>
      </c>
    </row>
    <row r="8" spans="2:39">
      <c r="C8" s="526" t="s">
        <v>733</v>
      </c>
      <c r="D8" s="518"/>
      <c r="E8" s="527">
        <f>730%/100</f>
        <v>7.2999999999999995E-2</v>
      </c>
      <c r="F8" s="527">
        <f>1920%/100</f>
        <v>0.192</v>
      </c>
      <c r="G8" s="527">
        <f>660%/100</f>
        <v>6.6000000000000003E-2</v>
      </c>
      <c r="H8" s="527">
        <f>470%/100</f>
        <v>4.7E-2</v>
      </c>
      <c r="I8" s="528">
        <f>240%/100</f>
        <v>2.4E-2</v>
      </c>
      <c r="J8" s="2"/>
      <c r="K8" s="521">
        <f>540%/100</f>
        <v>5.4000000000000006E-2</v>
      </c>
    </row>
    <row r="22" spans="3:3">
      <c r="C22" s="2" t="s">
        <v>734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AM46"/>
  <sheetViews>
    <sheetView workbookViewId="0"/>
  </sheetViews>
  <sheetFormatPr defaultRowHeight="15"/>
  <cols>
    <col min="1" max="1" width="2.28515625" customWidth="1"/>
    <col min="2" max="2" width="5.7109375" customWidth="1"/>
    <col min="3" max="3" width="12.7109375" customWidth="1"/>
    <col min="4" max="4" width="0.5703125" customWidth="1"/>
    <col min="5" max="9" width="12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45</v>
      </c>
    </row>
    <row r="5" spans="2:39" ht="25.5">
      <c r="C5" s="392" t="s">
        <v>735</v>
      </c>
      <c r="D5" s="529"/>
      <c r="E5" s="392" t="s">
        <v>736</v>
      </c>
      <c r="F5" s="530" t="s">
        <v>633</v>
      </c>
      <c r="G5" s="530" t="s">
        <v>634</v>
      </c>
      <c r="H5" s="530" t="s">
        <v>635</v>
      </c>
      <c r="I5" s="531" t="s">
        <v>737</v>
      </c>
    </row>
    <row r="6" spans="2:39" ht="16.5" customHeight="1">
      <c r="C6" s="532" t="s">
        <v>690</v>
      </c>
      <c r="D6" s="532"/>
      <c r="E6" s="534">
        <v>1347887</v>
      </c>
      <c r="F6" s="535">
        <v>930294</v>
      </c>
      <c r="G6" s="535">
        <v>216788</v>
      </c>
      <c r="H6" s="535">
        <v>200805</v>
      </c>
      <c r="I6" s="535">
        <v>31994</v>
      </c>
    </row>
    <row r="7" spans="2:39" ht="16.5" customHeight="1">
      <c r="C7" s="533" t="s">
        <v>738</v>
      </c>
      <c r="D7" s="532"/>
      <c r="E7" s="536">
        <v>1378582</v>
      </c>
      <c r="F7" s="537">
        <v>930233</v>
      </c>
      <c r="G7" s="537">
        <v>231543</v>
      </c>
      <c r="H7" s="537">
        <v>216806</v>
      </c>
      <c r="I7" s="538">
        <v>33802</v>
      </c>
    </row>
    <row r="8" spans="2:39" ht="16.5" customHeight="1">
      <c r="C8" s="532" t="s">
        <v>692</v>
      </c>
      <c r="D8" s="532"/>
      <c r="E8" s="539">
        <v>1412768</v>
      </c>
      <c r="F8" s="540">
        <v>922806</v>
      </c>
      <c r="G8" s="540">
        <v>249702</v>
      </c>
      <c r="H8" s="540">
        <v>240260</v>
      </c>
      <c r="I8" s="540">
        <v>40303</v>
      </c>
    </row>
    <row r="9" spans="2:39" ht="16.5" customHeight="1">
      <c r="C9" s="533" t="s">
        <v>693</v>
      </c>
      <c r="D9" s="532"/>
      <c r="E9" s="536">
        <v>1444883</v>
      </c>
      <c r="F9" s="537">
        <v>919026</v>
      </c>
      <c r="G9" s="537">
        <v>268883</v>
      </c>
      <c r="H9" s="537">
        <v>256974</v>
      </c>
      <c r="I9" s="538">
        <v>43653</v>
      </c>
    </row>
    <row r="10" spans="2:39" ht="16.5" customHeight="1">
      <c r="C10" s="532" t="s">
        <v>694</v>
      </c>
      <c r="D10" s="532"/>
      <c r="E10" s="539">
        <v>1466815</v>
      </c>
      <c r="F10" s="540">
        <v>918519</v>
      </c>
      <c r="G10" s="540">
        <v>260681</v>
      </c>
      <c r="H10" s="540">
        <v>287615</v>
      </c>
      <c r="I10" s="540">
        <v>67853</v>
      </c>
    </row>
    <row r="11" spans="2:39" ht="16.5" customHeight="1">
      <c r="C11" s="533" t="s">
        <v>695</v>
      </c>
      <c r="D11" s="532"/>
      <c r="E11" s="536">
        <v>1519725</v>
      </c>
      <c r="F11" s="537">
        <v>909014</v>
      </c>
      <c r="G11" s="537">
        <v>295553</v>
      </c>
      <c r="H11" s="537">
        <v>315158</v>
      </c>
      <c r="I11" s="538">
        <v>86379</v>
      </c>
    </row>
    <row r="12" spans="2:39" ht="16.5" customHeight="1">
      <c r="C12" s="258" t="s">
        <v>696</v>
      </c>
      <c r="D12" s="532"/>
      <c r="E12" s="539">
        <v>1533351</v>
      </c>
      <c r="F12" s="540">
        <v>903047</v>
      </c>
      <c r="G12" s="540">
        <v>301575</v>
      </c>
      <c r="H12" s="540">
        <v>328729</v>
      </c>
      <c r="I12" s="540">
        <v>99556</v>
      </c>
    </row>
    <row r="13" spans="2:39" ht="16.5" customHeight="1">
      <c r="C13" s="533" t="s">
        <v>697</v>
      </c>
      <c r="D13" s="532"/>
      <c r="E13" s="541">
        <v>1560791</v>
      </c>
      <c r="F13" s="542">
        <v>921013</v>
      </c>
      <c r="G13" s="542">
        <v>299110</v>
      </c>
      <c r="H13" s="542">
        <v>340668</v>
      </c>
      <c r="I13" s="543">
        <v>133406</v>
      </c>
    </row>
    <row r="14" spans="2:39" ht="16.5" customHeight="1">
      <c r="C14" s="258" t="s">
        <v>698</v>
      </c>
      <c r="D14" s="532"/>
      <c r="E14" s="534">
        <v>1547467</v>
      </c>
      <c r="F14" s="535">
        <v>928278</v>
      </c>
      <c r="G14" s="535">
        <v>309632</v>
      </c>
      <c r="H14" s="535">
        <v>309557</v>
      </c>
      <c r="I14" s="535">
        <v>145260</v>
      </c>
    </row>
    <row r="15" spans="2:39" ht="16.5" customHeight="1">
      <c r="C15" s="533" t="s">
        <v>699</v>
      </c>
      <c r="D15" s="532"/>
      <c r="E15" s="541">
        <v>1538389</v>
      </c>
      <c r="F15" s="542">
        <v>927852</v>
      </c>
      <c r="G15" s="542">
        <v>305659</v>
      </c>
      <c r="H15" s="542">
        <v>304878</v>
      </c>
      <c r="I15" s="543">
        <v>169516</v>
      </c>
    </row>
    <row r="16" spans="2:39" ht="16.5" customHeight="1">
      <c r="C16" s="258" t="s">
        <v>700</v>
      </c>
      <c r="D16" s="532"/>
      <c r="E16" s="534">
        <v>1574568</v>
      </c>
      <c r="F16" s="535">
        <v>946291</v>
      </c>
      <c r="G16" s="535">
        <v>322431</v>
      </c>
      <c r="H16" s="535">
        <v>305846</v>
      </c>
      <c r="I16" s="535">
        <v>176084</v>
      </c>
    </row>
    <row r="17" spans="3:9" ht="16.5" customHeight="1">
      <c r="C17" s="533" t="s">
        <v>701</v>
      </c>
      <c r="D17" s="532"/>
      <c r="E17" s="541">
        <v>1583910</v>
      </c>
      <c r="F17" s="542">
        <v>937638</v>
      </c>
      <c r="G17" s="542">
        <v>354541</v>
      </c>
      <c r="H17" s="542">
        <v>291731</v>
      </c>
      <c r="I17" s="543">
        <v>170428</v>
      </c>
    </row>
    <row r="18" spans="3:9" ht="16.5" customHeight="1">
      <c r="C18" s="258" t="s">
        <v>702</v>
      </c>
      <c r="D18" s="532"/>
      <c r="E18" s="534">
        <v>1617450</v>
      </c>
      <c r="F18" s="535">
        <v>931514</v>
      </c>
      <c r="G18" s="535">
        <v>374210</v>
      </c>
      <c r="H18" s="535">
        <v>311726</v>
      </c>
      <c r="I18" s="535">
        <v>187758</v>
      </c>
    </row>
    <row r="19" spans="3:9" ht="16.5" customHeight="1">
      <c r="C19" s="533" t="s">
        <v>703</v>
      </c>
      <c r="D19" s="532"/>
      <c r="E19" s="541">
        <v>1615312</v>
      </c>
      <c r="F19" s="542">
        <v>923079</v>
      </c>
      <c r="G19" s="542">
        <v>371580</v>
      </c>
      <c r="H19" s="542">
        <v>320653</v>
      </c>
      <c r="I19" s="543">
        <v>191220</v>
      </c>
    </row>
    <row r="20" spans="3:9" ht="16.5" customHeight="1">
      <c r="C20" s="258" t="s">
        <v>704</v>
      </c>
      <c r="D20" s="532"/>
      <c r="E20" s="534">
        <v>1636458</v>
      </c>
      <c r="F20" s="535">
        <v>899311</v>
      </c>
      <c r="G20" s="535">
        <v>381766</v>
      </c>
      <c r="H20" s="535">
        <v>355381</v>
      </c>
      <c r="I20" s="544">
        <v>206149</v>
      </c>
    </row>
    <row r="21" spans="3:9" ht="16.5" customHeight="1">
      <c r="C21" s="533" t="s">
        <v>705</v>
      </c>
      <c r="D21" s="532"/>
      <c r="E21" s="541">
        <v>1639405</v>
      </c>
      <c r="F21" s="542">
        <v>874262</v>
      </c>
      <c r="G21" s="542">
        <v>388994</v>
      </c>
      <c r="H21" s="542">
        <v>376149</v>
      </c>
      <c r="I21" s="543">
        <v>221951</v>
      </c>
    </row>
    <row r="22" spans="3:9" ht="16.5" customHeight="1">
      <c r="C22" s="258" t="s">
        <v>706</v>
      </c>
      <c r="D22" s="532"/>
      <c r="E22" s="534">
        <v>1606932</v>
      </c>
      <c r="F22" s="535">
        <v>839229</v>
      </c>
      <c r="G22" s="535">
        <v>395064</v>
      </c>
      <c r="H22" s="535">
        <v>372639</v>
      </c>
      <c r="I22" s="535">
        <v>243028</v>
      </c>
    </row>
    <row r="23" spans="3:9" ht="16.5" customHeight="1">
      <c r="C23" s="533" t="s">
        <v>707</v>
      </c>
      <c r="D23" s="532"/>
      <c r="E23" s="541">
        <v>1583661</v>
      </c>
      <c r="F23" s="542">
        <v>791418</v>
      </c>
      <c r="G23" s="542">
        <v>394536</v>
      </c>
      <c r="H23" s="542">
        <v>397707</v>
      </c>
      <c r="I23" s="543">
        <v>276405</v>
      </c>
    </row>
    <row r="24" spans="3:9" ht="16.5" customHeight="1">
      <c r="C24" s="258" t="s">
        <v>708</v>
      </c>
      <c r="D24" s="532"/>
      <c r="E24" s="534">
        <v>1555573</v>
      </c>
      <c r="F24" s="535">
        <v>753649</v>
      </c>
      <c r="G24" s="535">
        <v>372450</v>
      </c>
      <c r="H24" s="535">
        <v>429474</v>
      </c>
      <c r="I24" s="535">
        <v>276222</v>
      </c>
    </row>
    <row r="25" spans="3:9" ht="16.5" customHeight="1">
      <c r="C25" s="533" t="s">
        <v>709</v>
      </c>
      <c r="D25" s="532"/>
      <c r="E25" s="536">
        <v>1531114</v>
      </c>
      <c r="F25" s="537">
        <v>715881</v>
      </c>
      <c r="G25" s="537">
        <v>370607</v>
      </c>
      <c r="H25" s="537">
        <v>444626</v>
      </c>
      <c r="I25" s="538">
        <v>309568</v>
      </c>
    </row>
    <row r="26" spans="3:9" ht="16.5" customHeight="1">
      <c r="C26" s="258" t="s">
        <v>710</v>
      </c>
      <c r="D26" s="532"/>
      <c r="E26" s="539">
        <v>1484256</v>
      </c>
      <c r="F26" s="540">
        <v>669525</v>
      </c>
      <c r="G26" s="540">
        <v>356420</v>
      </c>
      <c r="H26" s="540">
        <v>458311</v>
      </c>
      <c r="I26" s="540">
        <v>347911</v>
      </c>
    </row>
    <row r="27" spans="3:9" ht="16.5" customHeight="1">
      <c r="C27" s="533" t="s">
        <v>711</v>
      </c>
      <c r="D27" s="532"/>
      <c r="E27" s="536">
        <v>1509182</v>
      </c>
      <c r="F27" s="537">
        <v>658305</v>
      </c>
      <c r="G27" s="537">
        <v>354631</v>
      </c>
      <c r="H27" s="537">
        <v>496246</v>
      </c>
      <c r="I27" s="538">
        <v>401263</v>
      </c>
    </row>
    <row r="28" spans="3:9" ht="16.5" customHeight="1">
      <c r="C28" s="258" t="s">
        <v>712</v>
      </c>
      <c r="D28" s="532"/>
      <c r="E28" s="539">
        <v>1441889</v>
      </c>
      <c r="F28" s="540">
        <v>613697</v>
      </c>
      <c r="G28" s="540">
        <v>339244</v>
      </c>
      <c r="H28" s="540">
        <v>488948</v>
      </c>
      <c r="I28" s="540">
        <v>415861</v>
      </c>
    </row>
    <row r="29" spans="3:9" ht="16.5" customHeight="1">
      <c r="C29" s="533" t="s">
        <v>713</v>
      </c>
      <c r="D29" s="532"/>
      <c r="E29" s="536">
        <v>1429824</v>
      </c>
      <c r="F29" s="537">
        <v>586034</v>
      </c>
      <c r="G29" s="537">
        <v>343437</v>
      </c>
      <c r="H29" s="537">
        <v>500353</v>
      </c>
      <c r="I29" s="538">
        <v>438300</v>
      </c>
    </row>
    <row r="30" spans="3:9" ht="16.5" customHeight="1">
      <c r="C30" s="532" t="s">
        <v>584</v>
      </c>
      <c r="D30" s="532"/>
      <c r="E30" s="539">
        <v>1408449</v>
      </c>
      <c r="F30" s="540">
        <v>580483</v>
      </c>
      <c r="G30" s="540">
        <v>321492</v>
      </c>
      <c r="H30" s="540">
        <v>506474</v>
      </c>
      <c r="I30" s="540">
        <v>457194</v>
      </c>
    </row>
    <row r="31" spans="3:9" ht="16.5" customHeight="1">
      <c r="C31" s="533" t="s">
        <v>680</v>
      </c>
      <c r="D31" s="532"/>
      <c r="E31" s="536">
        <v>1339749</v>
      </c>
      <c r="F31" s="537">
        <v>552724</v>
      </c>
      <c r="G31" s="537">
        <v>315209</v>
      </c>
      <c r="H31" s="537">
        <v>471816</v>
      </c>
      <c r="I31" s="538">
        <v>477221</v>
      </c>
    </row>
    <row r="32" spans="3:9" ht="16.5" customHeight="1">
      <c r="C32" s="532" t="s">
        <v>714</v>
      </c>
      <c r="D32" s="532"/>
      <c r="E32" s="539">
        <v>1305723</v>
      </c>
      <c r="F32" s="540">
        <v>538122</v>
      </c>
      <c r="G32" s="540">
        <v>304387</v>
      </c>
      <c r="H32" s="540">
        <v>463214</v>
      </c>
      <c r="I32" s="540">
        <v>458232</v>
      </c>
    </row>
    <row r="33" spans="3:9" ht="16.5" customHeight="1">
      <c r="C33" s="533" t="s">
        <v>715</v>
      </c>
      <c r="D33" s="532"/>
      <c r="E33" s="536">
        <v>1276376</v>
      </c>
      <c r="F33" s="537">
        <v>535112</v>
      </c>
      <c r="G33" s="537">
        <v>285088</v>
      </c>
      <c r="H33" s="537">
        <v>456176</v>
      </c>
      <c r="I33" s="538">
        <v>442783</v>
      </c>
    </row>
    <row r="34" spans="3:9" ht="16.5" customHeight="1">
      <c r="C34" s="532" t="s">
        <v>716</v>
      </c>
      <c r="D34" s="532"/>
      <c r="E34" s="539">
        <v>1259473</v>
      </c>
      <c r="F34" s="540">
        <v>538273</v>
      </c>
      <c r="G34" s="540">
        <v>281101</v>
      </c>
      <c r="H34" s="540">
        <v>440099</v>
      </c>
      <c r="I34" s="540">
        <v>421005</v>
      </c>
    </row>
    <row r="35" spans="3:9" ht="16.5" customHeight="1">
      <c r="C35" s="533" t="s">
        <v>446</v>
      </c>
      <c r="D35" s="532"/>
      <c r="E35" s="536">
        <v>1240836</v>
      </c>
      <c r="F35" s="537">
        <v>539943</v>
      </c>
      <c r="G35" s="537">
        <v>276529</v>
      </c>
      <c r="H35" s="537">
        <v>424364</v>
      </c>
      <c r="I35" s="538">
        <v>417705</v>
      </c>
    </row>
    <row r="36" spans="3:9" ht="16.5" customHeight="1">
      <c r="C36" s="532" t="s">
        <v>447</v>
      </c>
      <c r="D36" s="532"/>
      <c r="E36" s="539">
        <v>1223151</v>
      </c>
      <c r="F36" s="540">
        <v>535580</v>
      </c>
      <c r="G36" s="540">
        <v>271793</v>
      </c>
      <c r="H36" s="540">
        <v>415778</v>
      </c>
      <c r="I36" s="540">
        <v>413748</v>
      </c>
    </row>
    <row r="37" spans="3:9" ht="16.5" customHeight="1">
      <c r="C37" s="533" t="s">
        <v>448</v>
      </c>
      <c r="D37" s="532"/>
      <c r="E37" s="536">
        <v>1192931</v>
      </c>
      <c r="F37" s="537">
        <v>520211</v>
      </c>
      <c r="G37" s="537">
        <v>270825</v>
      </c>
      <c r="H37" s="537">
        <v>401895</v>
      </c>
      <c r="I37" s="538">
        <v>397532</v>
      </c>
    </row>
    <row r="38" spans="3:9" ht="16.5" customHeight="1">
      <c r="C38" s="532" t="s">
        <v>449</v>
      </c>
      <c r="D38" s="532"/>
      <c r="E38" s="539">
        <v>1174412</v>
      </c>
      <c r="F38" s="540">
        <v>508472</v>
      </c>
      <c r="G38" s="540">
        <v>274169</v>
      </c>
      <c r="H38" s="540">
        <v>391771</v>
      </c>
      <c r="I38" s="540">
        <v>385589</v>
      </c>
    </row>
    <row r="39" spans="3:9" ht="16.5" customHeight="1">
      <c r="C39" s="533" t="s">
        <v>450</v>
      </c>
      <c r="D39" s="532"/>
      <c r="E39" s="536">
        <v>1166277</v>
      </c>
      <c r="F39" s="537">
        <v>506121</v>
      </c>
      <c r="G39" s="537">
        <v>274123</v>
      </c>
      <c r="H39" s="537">
        <v>386033</v>
      </c>
      <c r="I39" s="538">
        <v>382212</v>
      </c>
    </row>
    <row r="40" spans="3:9" ht="16.5" customHeight="1">
      <c r="C40" s="532" t="s">
        <v>451</v>
      </c>
      <c r="D40" s="532"/>
      <c r="E40" s="545">
        <v>1153057</v>
      </c>
      <c r="F40" s="546">
        <v>504412</v>
      </c>
      <c r="G40" s="546">
        <v>267742</v>
      </c>
      <c r="H40" s="546">
        <v>380903</v>
      </c>
      <c r="I40" s="546">
        <v>376896</v>
      </c>
    </row>
    <row r="41" spans="3:9" ht="16.5" customHeight="1">
      <c r="C41" s="533" t="s">
        <v>452</v>
      </c>
      <c r="D41" s="532"/>
      <c r="E41" s="536">
        <v>1145234</v>
      </c>
      <c r="F41" s="537">
        <v>495628</v>
      </c>
      <c r="G41" s="537">
        <v>256252</v>
      </c>
      <c r="H41" s="537">
        <v>393354</v>
      </c>
      <c r="I41" s="538">
        <v>347400</v>
      </c>
    </row>
    <row r="42" spans="3:9" ht="16.5" customHeight="1">
      <c r="C42" s="532" t="s">
        <v>453</v>
      </c>
      <c r="D42" s="532"/>
      <c r="E42" s="545">
        <v>1155181</v>
      </c>
      <c r="F42" s="546">
        <v>500823</v>
      </c>
      <c r="G42" s="546">
        <v>255766</v>
      </c>
      <c r="H42" s="546">
        <v>398592</v>
      </c>
      <c r="I42" s="546">
        <v>356711</v>
      </c>
    </row>
    <row r="43" spans="3:9" ht="16.5" customHeight="1">
      <c r="C43" s="533" t="s">
        <v>454</v>
      </c>
      <c r="D43" s="532"/>
      <c r="E43" s="536">
        <v>1187184</v>
      </c>
      <c r="F43" s="537">
        <v>498592</v>
      </c>
      <c r="G43" s="537">
        <v>263324</v>
      </c>
      <c r="H43" s="537">
        <v>425268</v>
      </c>
      <c r="I43" s="538">
        <v>349477</v>
      </c>
    </row>
    <row r="46" spans="3:9">
      <c r="C46" s="2" t="s">
        <v>739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AM48"/>
  <sheetViews>
    <sheetView workbookViewId="0"/>
  </sheetViews>
  <sheetFormatPr defaultRowHeight="15"/>
  <cols>
    <col min="1" max="1" width="2.28515625" customWidth="1"/>
    <col min="2" max="2" width="5.7109375" customWidth="1"/>
    <col min="3" max="7" width="11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54</v>
      </c>
    </row>
    <row r="5" spans="2:39">
      <c r="G5" s="475" t="s">
        <v>332</v>
      </c>
    </row>
    <row r="6" spans="2:39">
      <c r="C6" s="1204" t="s">
        <v>735</v>
      </c>
      <c r="D6" s="1206" t="s">
        <v>633</v>
      </c>
      <c r="E6" s="1208" t="s">
        <v>634</v>
      </c>
      <c r="F6" s="1210" t="s">
        <v>635</v>
      </c>
      <c r="G6" s="1210" t="s">
        <v>740</v>
      </c>
    </row>
    <row r="7" spans="2:39">
      <c r="C7" s="1205"/>
      <c r="D7" s="1207"/>
      <c r="E7" s="1209"/>
      <c r="F7" s="1211"/>
      <c r="G7" s="1212"/>
    </row>
    <row r="8" spans="2:39">
      <c r="C8" s="532" t="s">
        <v>690</v>
      </c>
      <c r="D8" s="479">
        <v>83.684215155397496</v>
      </c>
      <c r="E8" s="479">
        <v>21.962380777312493</v>
      </c>
      <c r="F8" s="479">
        <v>14.7030934921141</v>
      </c>
      <c r="G8" s="479">
        <v>4.2706196074237939</v>
      </c>
    </row>
    <row r="9" spans="2:39">
      <c r="C9" s="547" t="s">
        <v>738</v>
      </c>
      <c r="D9" s="548">
        <v>82.8599786895535</v>
      </c>
      <c r="E9" s="548">
        <v>22.966680282429831</v>
      </c>
      <c r="F9" s="548">
        <v>15.712574120705062</v>
      </c>
      <c r="G9" s="549">
        <v>4.3534418555165439</v>
      </c>
    </row>
    <row r="10" spans="2:39">
      <c r="C10" s="532" t="s">
        <v>692</v>
      </c>
      <c r="D10" s="479">
        <v>83.559133896724731</v>
      </c>
      <c r="E10" s="479">
        <v>24.222397292250232</v>
      </c>
      <c r="F10" s="479">
        <v>16.530262286137418</v>
      </c>
      <c r="G10" s="479">
        <v>5.0235550482515299</v>
      </c>
    </row>
    <row r="11" spans="2:39">
      <c r="C11" s="547" t="s">
        <v>693</v>
      </c>
      <c r="D11" s="548">
        <v>84.865970759971916</v>
      </c>
      <c r="E11" s="548">
        <v>26.006246169113567</v>
      </c>
      <c r="F11" s="548">
        <v>17.844454072790295</v>
      </c>
      <c r="G11" s="549">
        <v>4.9098983010526727</v>
      </c>
    </row>
    <row r="12" spans="2:39">
      <c r="C12" s="532" t="s">
        <v>694</v>
      </c>
      <c r="D12" s="479">
        <v>85.197500224262185</v>
      </c>
      <c r="E12" s="479">
        <v>27.872157490586737</v>
      </c>
      <c r="F12" s="479">
        <v>21.877415365589737</v>
      </c>
      <c r="G12" s="479">
        <v>8.085106382978724</v>
      </c>
    </row>
    <row r="13" spans="2:39">
      <c r="C13" s="547" t="s">
        <v>695</v>
      </c>
      <c r="D13" s="548">
        <v>87.676568543990925</v>
      </c>
      <c r="E13" s="548">
        <v>33.537373911544101</v>
      </c>
      <c r="F13" s="548">
        <v>24.792369225943066</v>
      </c>
      <c r="G13" s="549">
        <v>9.2075144866269358</v>
      </c>
    </row>
    <row r="14" spans="2:39">
      <c r="C14" s="258" t="s">
        <v>696</v>
      </c>
      <c r="D14" s="479">
        <v>90.529695024077057</v>
      </c>
      <c r="E14" s="479">
        <v>33.655316191799862</v>
      </c>
      <c r="F14" s="479">
        <v>26.426555310675482</v>
      </c>
      <c r="G14" s="479">
        <v>10.167154114875295</v>
      </c>
    </row>
    <row r="15" spans="2:39">
      <c r="C15" s="547" t="s">
        <v>697</v>
      </c>
      <c r="D15" s="548">
        <v>96.348257211538453</v>
      </c>
      <c r="E15" s="548">
        <v>34.429854261740026</v>
      </c>
      <c r="F15" s="548">
        <v>27.039205114380344</v>
      </c>
      <c r="G15" s="549">
        <v>8.8514169158563867</v>
      </c>
    </row>
    <row r="16" spans="2:39">
      <c r="C16" s="258" t="s">
        <v>698</v>
      </c>
      <c r="D16" s="479">
        <v>98.159725828227224</v>
      </c>
      <c r="E16" s="479">
        <v>35.99774252955504</v>
      </c>
      <c r="F16" s="479">
        <v>26.165815052441509</v>
      </c>
      <c r="G16" s="479">
        <v>11.358519478988626</v>
      </c>
    </row>
    <row r="17" spans="3:7">
      <c r="C17" s="547" t="s">
        <v>699</v>
      </c>
      <c r="D17" s="548">
        <v>98.407122515486918</v>
      </c>
      <c r="E17" s="548">
        <v>35.384386970335832</v>
      </c>
      <c r="F17" s="548">
        <v>25.774992713494608</v>
      </c>
      <c r="G17" s="549">
        <v>11.736256089074461</v>
      </c>
    </row>
    <row r="18" spans="3:7">
      <c r="C18" s="258" t="s">
        <v>700</v>
      </c>
      <c r="D18" s="479">
        <v>100</v>
      </c>
      <c r="E18" s="479">
        <v>41.114360069007866</v>
      </c>
      <c r="F18" s="479">
        <v>26.151379465420487</v>
      </c>
      <c r="G18" s="479">
        <v>12.397257650618561</v>
      </c>
    </row>
    <row r="19" spans="3:7">
      <c r="C19" s="547" t="s">
        <v>701</v>
      </c>
      <c r="D19" s="548">
        <v>100</v>
      </c>
      <c r="E19" s="548">
        <v>44.66760094595778</v>
      </c>
      <c r="F19" s="548">
        <v>24.355426645239682</v>
      </c>
      <c r="G19" s="549">
        <v>12.175331489077553</v>
      </c>
    </row>
    <row r="20" spans="3:7">
      <c r="C20" s="258" t="s">
        <v>702</v>
      </c>
      <c r="D20" s="479">
        <v>100</v>
      </c>
      <c r="E20" s="479">
        <v>48.811702838548477</v>
      </c>
      <c r="F20" s="479">
        <v>28.765721428013435</v>
      </c>
      <c r="G20" s="479">
        <v>13.983957219251336</v>
      </c>
    </row>
    <row r="21" spans="3:7">
      <c r="C21" s="547" t="s">
        <v>703</v>
      </c>
      <c r="D21" s="548">
        <v>100</v>
      </c>
      <c r="E21" s="548">
        <v>51.965796999941638</v>
      </c>
      <c r="F21" s="548">
        <v>32.17774470251851</v>
      </c>
      <c r="G21" s="549">
        <v>14.124131414735929</v>
      </c>
    </row>
    <row r="22" spans="3:7">
      <c r="C22" s="258" t="s">
        <v>704</v>
      </c>
      <c r="D22" s="479">
        <v>100</v>
      </c>
      <c r="E22" s="479">
        <v>56.555930215510919</v>
      </c>
      <c r="F22" s="479">
        <v>37.556706450419583</v>
      </c>
      <c r="G22" s="479">
        <v>15.838303774893491</v>
      </c>
    </row>
    <row r="23" spans="3:7">
      <c r="C23" s="547" t="s">
        <v>705</v>
      </c>
      <c r="D23" s="548">
        <v>100</v>
      </c>
      <c r="E23" s="548">
        <v>60.668495524112046</v>
      </c>
      <c r="F23" s="548">
        <v>41.012938205876019</v>
      </c>
      <c r="G23" s="549">
        <v>17.791893286752153</v>
      </c>
    </row>
    <row r="24" spans="3:7">
      <c r="C24" s="258" t="s">
        <v>706</v>
      </c>
      <c r="D24" s="479">
        <v>100</v>
      </c>
      <c r="E24" s="479">
        <v>62.66847684797365</v>
      </c>
      <c r="F24" s="479">
        <v>41.156744095256684</v>
      </c>
      <c r="G24" s="479">
        <v>19.537199299028199</v>
      </c>
    </row>
    <row r="25" spans="3:7">
      <c r="C25" s="547" t="s">
        <v>707</v>
      </c>
      <c r="D25" s="548">
        <v>100</v>
      </c>
      <c r="E25" s="548">
        <v>67.532798943228556</v>
      </c>
      <c r="F25" s="548">
        <v>44.668027210884354</v>
      </c>
      <c r="G25" s="549">
        <v>23.650488515428368</v>
      </c>
    </row>
    <row r="26" spans="3:7">
      <c r="C26" s="258" t="s">
        <v>708</v>
      </c>
      <c r="D26" s="479">
        <v>100</v>
      </c>
      <c r="E26" s="479">
        <v>66.914514692787179</v>
      </c>
      <c r="F26" s="479">
        <v>49.505266209295584</v>
      </c>
      <c r="G26" s="479">
        <v>23.998890188073485</v>
      </c>
    </row>
    <row r="27" spans="3:7">
      <c r="C27" s="547" t="s">
        <v>709</v>
      </c>
      <c r="D27" s="548">
        <v>100</v>
      </c>
      <c r="E27" s="548">
        <v>69.226513879284795</v>
      </c>
      <c r="F27" s="548">
        <v>54.013497029079602</v>
      </c>
      <c r="G27" s="549">
        <v>28.157423971377462</v>
      </c>
    </row>
    <row r="28" spans="3:7">
      <c r="C28" s="258" t="s">
        <v>710</v>
      </c>
      <c r="D28" s="479">
        <v>100</v>
      </c>
      <c r="E28" s="479">
        <v>71.65450614781787</v>
      </c>
      <c r="F28" s="479">
        <v>58.254437869822482</v>
      </c>
      <c r="G28" s="479">
        <v>31.043527328624521</v>
      </c>
    </row>
    <row r="29" spans="3:7">
      <c r="C29" s="547" t="s">
        <v>711</v>
      </c>
      <c r="D29" s="548">
        <v>100</v>
      </c>
      <c r="E29" s="548">
        <v>78.473267581445313</v>
      </c>
      <c r="F29" s="548">
        <v>65.526406383975058</v>
      </c>
      <c r="G29" s="549">
        <v>40.139479772920126</v>
      </c>
    </row>
    <row r="30" spans="3:7">
      <c r="C30" s="258" t="s">
        <v>712</v>
      </c>
      <c r="D30" s="479">
        <v>100</v>
      </c>
      <c r="E30" s="479">
        <v>81.377256492981004</v>
      </c>
      <c r="F30" s="479">
        <v>66.372139179777946</v>
      </c>
      <c r="G30" s="479">
        <v>43.749641726905963</v>
      </c>
    </row>
    <row r="31" spans="3:7">
      <c r="C31" s="547" t="s">
        <v>713</v>
      </c>
      <c r="D31" s="548">
        <v>100</v>
      </c>
      <c r="E31" s="548">
        <v>87.797985356838751</v>
      </c>
      <c r="F31" s="548">
        <v>72.231495797246197</v>
      </c>
      <c r="G31" s="549">
        <v>49.146132018344261</v>
      </c>
    </row>
    <row r="32" spans="3:7">
      <c r="C32" s="258" t="s">
        <v>584</v>
      </c>
      <c r="D32" s="479">
        <v>100</v>
      </c>
      <c r="E32" s="479">
        <v>85.196491363653919</v>
      </c>
      <c r="F32" s="479">
        <v>77.943197755960725</v>
      </c>
      <c r="G32" s="479">
        <v>51.501116889613364</v>
      </c>
    </row>
    <row r="33" spans="3:7">
      <c r="C33" s="547" t="s">
        <v>680</v>
      </c>
      <c r="D33" s="548">
        <v>100</v>
      </c>
      <c r="E33" s="548">
        <v>88.080648349476178</v>
      </c>
      <c r="F33" s="548">
        <v>80.778039776570864</v>
      </c>
      <c r="G33" s="549">
        <v>58.845285300236498</v>
      </c>
    </row>
    <row r="34" spans="3:7">
      <c r="C34" s="532" t="s">
        <v>714</v>
      </c>
      <c r="D34" s="479">
        <v>100</v>
      </c>
      <c r="E34" s="479">
        <v>89.098605261487023</v>
      </c>
      <c r="F34" s="479">
        <v>82.487522558964471</v>
      </c>
      <c r="G34" s="479">
        <v>59.419497533034651</v>
      </c>
    </row>
    <row r="35" spans="3:7">
      <c r="C35" s="547" t="s">
        <v>715</v>
      </c>
      <c r="D35" s="548">
        <v>100</v>
      </c>
      <c r="E35" s="548">
        <v>87.261700713586123</v>
      </c>
      <c r="F35" s="548">
        <v>82.691997607344419</v>
      </c>
      <c r="G35" s="549">
        <v>59.129683170284707</v>
      </c>
    </row>
    <row r="36" spans="3:7">
      <c r="C36" s="532" t="s">
        <v>716</v>
      </c>
      <c r="D36" s="479">
        <v>100</v>
      </c>
      <c r="E36" s="479">
        <v>88.697108148306484</v>
      </c>
      <c r="F36" s="479">
        <v>83.524627227362203</v>
      </c>
      <c r="G36" s="479">
        <v>58.623133432106755</v>
      </c>
    </row>
    <row r="37" spans="3:7">
      <c r="C37" s="547" t="s">
        <v>446</v>
      </c>
      <c r="D37" s="548">
        <v>100</v>
      </c>
      <c r="E37" s="548">
        <v>87.432275886651226</v>
      </c>
      <c r="F37" s="548">
        <v>83.853855433912486</v>
      </c>
      <c r="G37" s="549">
        <v>58.847653147263323</v>
      </c>
    </row>
    <row r="38" spans="3:7">
      <c r="C38" s="532" t="s">
        <v>447</v>
      </c>
      <c r="D38" s="479">
        <v>100</v>
      </c>
      <c r="E38" s="479">
        <v>86.984941805473525</v>
      </c>
      <c r="F38" s="479">
        <v>86.759250233656914</v>
      </c>
      <c r="G38" s="479">
        <v>62.480410369317099</v>
      </c>
    </row>
    <row r="39" spans="3:7">
      <c r="C39" s="547" t="s">
        <v>448</v>
      </c>
      <c r="D39" s="548">
        <v>100</v>
      </c>
      <c r="E39" s="548">
        <v>86.040285681413891</v>
      </c>
      <c r="F39" s="548">
        <v>84.232540023950421</v>
      </c>
      <c r="G39" s="549">
        <v>59.660726688546148</v>
      </c>
    </row>
    <row r="40" spans="3:7">
      <c r="C40" s="532" t="s">
        <v>449</v>
      </c>
      <c r="D40" s="479">
        <v>100</v>
      </c>
      <c r="E40" s="479">
        <v>86.779430392494746</v>
      </c>
      <c r="F40" s="479">
        <v>82.545331989087202</v>
      </c>
      <c r="G40" s="479">
        <v>58.876194994400834</v>
      </c>
    </row>
    <row r="41" spans="3:7">
      <c r="C41" s="547" t="s">
        <v>450</v>
      </c>
      <c r="D41" s="548">
        <v>100</v>
      </c>
      <c r="E41" s="548">
        <v>86.867650144602266</v>
      </c>
      <c r="F41" s="548">
        <v>82.031674457928645</v>
      </c>
      <c r="G41" s="549">
        <v>57.951759121788818</v>
      </c>
    </row>
    <row r="42" spans="3:7">
      <c r="C42" s="532" t="s">
        <v>451</v>
      </c>
      <c r="D42" s="479">
        <v>100</v>
      </c>
      <c r="E42" s="550">
        <v>86.376104278336356</v>
      </c>
      <c r="F42" s="550">
        <v>82.494710752024261</v>
      </c>
      <c r="G42" s="550">
        <v>59.793879200303849</v>
      </c>
    </row>
    <row r="43" spans="3:7">
      <c r="C43" s="547" t="s">
        <v>452</v>
      </c>
      <c r="D43" s="548">
        <v>100</v>
      </c>
      <c r="E43" s="548">
        <v>84.372752827351775</v>
      </c>
      <c r="F43" s="548">
        <v>83.452422705845279</v>
      </c>
      <c r="G43" s="549">
        <v>54.173649246740752</v>
      </c>
    </row>
    <row r="44" spans="3:7">
      <c r="C44" s="532" t="s">
        <v>453</v>
      </c>
      <c r="D44" s="479">
        <v>100</v>
      </c>
      <c r="E44" s="550">
        <v>87.955750899447352</v>
      </c>
      <c r="F44" s="550">
        <v>86.505411535475616</v>
      </c>
      <c r="G44" s="550">
        <v>60.033998004838843</v>
      </c>
    </row>
    <row r="45" spans="3:7">
      <c r="C45" s="547" t="s">
        <v>454</v>
      </c>
      <c r="D45" s="548">
        <v>100</v>
      </c>
      <c r="E45" s="548">
        <v>92</v>
      </c>
      <c r="F45" s="548">
        <v>86.2</v>
      </c>
      <c r="G45" s="549">
        <v>63.2</v>
      </c>
    </row>
    <row r="48" spans="3:7">
      <c r="C48" s="2" t="s">
        <v>739</v>
      </c>
    </row>
  </sheetData>
  <mergeCells count="6">
    <mergeCell ref="C1:AM1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1:AM45"/>
  <sheetViews>
    <sheetView workbookViewId="0"/>
  </sheetViews>
  <sheetFormatPr defaultRowHeight="15"/>
  <cols>
    <col min="1" max="1" width="2.28515625" customWidth="1"/>
    <col min="2" max="2" width="5.7109375" customWidth="1"/>
    <col min="3" max="5" width="10.7109375" customWidth="1"/>
    <col min="7" max="9" width="10.7109375" customWidth="1"/>
    <col min="12" max="14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56</v>
      </c>
    </row>
    <row r="5" spans="2:39">
      <c r="C5" s="453"/>
      <c r="D5" s="453"/>
      <c r="E5" s="475" t="s">
        <v>335</v>
      </c>
      <c r="G5" s="453"/>
      <c r="H5" s="453"/>
      <c r="I5" s="475" t="s">
        <v>335</v>
      </c>
      <c r="L5" s="453"/>
      <c r="M5" s="453"/>
      <c r="N5" s="475" t="s">
        <v>332</v>
      </c>
    </row>
    <row r="6" spans="2:39">
      <c r="C6" s="1140" t="s">
        <v>735</v>
      </c>
      <c r="D6" s="1213" t="s">
        <v>600</v>
      </c>
      <c r="E6" s="1152"/>
      <c r="G6" s="1140" t="s">
        <v>735</v>
      </c>
      <c r="H6" s="1213" t="s">
        <v>737</v>
      </c>
      <c r="I6" s="1152"/>
      <c r="L6" s="1140" t="s">
        <v>735</v>
      </c>
      <c r="M6" s="1213" t="s">
        <v>600</v>
      </c>
      <c r="N6" s="1152"/>
    </row>
    <row r="7" spans="2:39">
      <c r="C7" s="1140"/>
      <c r="D7" s="551" t="s">
        <v>535</v>
      </c>
      <c r="E7" s="552" t="s">
        <v>536</v>
      </c>
      <c r="G7" s="1140"/>
      <c r="H7" s="551" t="s">
        <v>535</v>
      </c>
      <c r="I7" s="552" t="s">
        <v>536</v>
      </c>
      <c r="L7" s="1140"/>
      <c r="M7" s="551" t="s">
        <v>535</v>
      </c>
      <c r="N7" s="552" t="s">
        <v>536</v>
      </c>
    </row>
    <row r="8" spans="2:39">
      <c r="C8" s="532" t="s">
        <v>690</v>
      </c>
      <c r="D8" s="535">
        <v>701735</v>
      </c>
      <c r="E8" s="535">
        <v>646152</v>
      </c>
      <c r="G8" s="532" t="s">
        <v>690</v>
      </c>
      <c r="H8" s="535">
        <v>18705</v>
      </c>
      <c r="I8" s="535">
        <v>13289</v>
      </c>
      <c r="L8" s="532" t="s">
        <v>690</v>
      </c>
      <c r="M8" s="425">
        <v>52.061856817374156</v>
      </c>
      <c r="N8" s="550">
        <v>47.938143182625844</v>
      </c>
    </row>
    <row r="9" spans="2:39">
      <c r="C9" s="547" t="s">
        <v>738</v>
      </c>
      <c r="D9" s="537">
        <v>715144</v>
      </c>
      <c r="E9" s="538">
        <v>663438</v>
      </c>
      <c r="G9" s="547" t="s">
        <v>738</v>
      </c>
      <c r="H9" s="537">
        <v>20083</v>
      </c>
      <c r="I9" s="538">
        <v>13719</v>
      </c>
      <c r="L9" s="547" t="s">
        <v>695</v>
      </c>
      <c r="M9" s="427">
        <v>51.860566878876114</v>
      </c>
      <c r="N9" s="549">
        <v>48.139433121123886</v>
      </c>
    </row>
    <row r="10" spans="2:39">
      <c r="C10" s="532" t="s">
        <v>692</v>
      </c>
      <c r="D10" s="540">
        <v>733025</v>
      </c>
      <c r="E10" s="540">
        <v>679743</v>
      </c>
      <c r="G10" s="532" t="s">
        <v>692</v>
      </c>
      <c r="H10" s="540">
        <v>23289</v>
      </c>
      <c r="I10" s="540">
        <v>17014</v>
      </c>
      <c r="L10" s="258" t="s">
        <v>700</v>
      </c>
      <c r="M10" s="425">
        <v>51.638735195939454</v>
      </c>
      <c r="N10" s="479">
        <v>48.361264804060546</v>
      </c>
    </row>
    <row r="11" spans="2:39">
      <c r="C11" s="547" t="s">
        <v>693</v>
      </c>
      <c r="D11" s="537">
        <v>750474</v>
      </c>
      <c r="E11" s="538">
        <v>694409</v>
      </c>
      <c r="G11" s="547" t="s">
        <v>693</v>
      </c>
      <c r="H11" s="537">
        <v>24302</v>
      </c>
      <c r="I11" s="538">
        <v>19351</v>
      </c>
      <c r="L11" s="547" t="s">
        <v>705</v>
      </c>
      <c r="M11" s="427">
        <v>51.69607266050793</v>
      </c>
      <c r="N11" s="549">
        <v>48.30392733949207</v>
      </c>
    </row>
    <row r="12" spans="2:39">
      <c r="C12" s="532" t="s">
        <v>694</v>
      </c>
      <c r="D12" s="540">
        <v>760374</v>
      </c>
      <c r="E12" s="540">
        <v>706441</v>
      </c>
      <c r="G12" s="532" t="s">
        <v>694</v>
      </c>
      <c r="H12" s="540">
        <v>36719</v>
      </c>
      <c r="I12" s="540">
        <v>31134</v>
      </c>
      <c r="L12" s="258" t="s">
        <v>710</v>
      </c>
      <c r="M12" s="425">
        <v>51.311903067934374</v>
      </c>
      <c r="N12" s="479">
        <v>48.688096932065626</v>
      </c>
    </row>
    <row r="13" spans="2:39">
      <c r="C13" s="547" t="s">
        <v>695</v>
      </c>
      <c r="D13" s="537">
        <v>788138</v>
      </c>
      <c r="E13" s="538">
        <v>731587</v>
      </c>
      <c r="G13" s="547" t="s">
        <v>695</v>
      </c>
      <c r="H13" s="537">
        <v>46327</v>
      </c>
      <c r="I13" s="538">
        <v>40052</v>
      </c>
      <c r="L13" s="547" t="s">
        <v>680</v>
      </c>
      <c r="M13" s="427">
        <v>51.849413584186294</v>
      </c>
      <c r="N13" s="549">
        <v>48.150586415813706</v>
      </c>
    </row>
    <row r="14" spans="2:39">
      <c r="C14" s="258" t="s">
        <v>696</v>
      </c>
      <c r="D14" s="540">
        <v>796573</v>
      </c>
      <c r="E14" s="540">
        <v>736778</v>
      </c>
      <c r="G14" s="258" t="s">
        <v>696</v>
      </c>
      <c r="H14" s="540">
        <v>51269</v>
      </c>
      <c r="I14" s="540">
        <v>48287</v>
      </c>
      <c r="L14" s="532" t="s">
        <v>447</v>
      </c>
      <c r="M14" s="425">
        <v>51.569920639397751</v>
      </c>
      <c r="N14" s="479">
        <v>48.430079360602249</v>
      </c>
    </row>
    <row r="15" spans="2:39">
      <c r="C15" s="547" t="s">
        <v>697</v>
      </c>
      <c r="D15" s="542">
        <v>811432</v>
      </c>
      <c r="E15" s="543">
        <v>749359</v>
      </c>
      <c r="G15" s="547" t="s">
        <v>697</v>
      </c>
      <c r="H15" s="253">
        <v>67382</v>
      </c>
      <c r="I15" s="260">
        <v>66024</v>
      </c>
      <c r="L15" s="547" t="s">
        <v>452</v>
      </c>
      <c r="M15" s="427">
        <v>51.907033846358033</v>
      </c>
      <c r="N15" s="549">
        <v>48.092966153641967</v>
      </c>
    </row>
    <row r="16" spans="2:39">
      <c r="C16" s="258" t="s">
        <v>698</v>
      </c>
      <c r="D16" s="535">
        <v>801874</v>
      </c>
      <c r="E16" s="535">
        <v>745593</v>
      </c>
      <c r="G16" s="258" t="s">
        <v>698</v>
      </c>
      <c r="H16" s="250">
        <v>70651</v>
      </c>
      <c r="I16" s="250">
        <v>74609</v>
      </c>
      <c r="L16" s="532" t="s">
        <v>453</v>
      </c>
      <c r="M16" s="425">
        <v>52.049419095362545</v>
      </c>
      <c r="N16" s="550">
        <v>47.950580904637455</v>
      </c>
    </row>
    <row r="17" spans="3:14">
      <c r="C17" s="547" t="s">
        <v>699</v>
      </c>
      <c r="D17" s="542">
        <v>795459</v>
      </c>
      <c r="E17" s="543">
        <v>742930</v>
      </c>
      <c r="G17" s="547" t="s">
        <v>699</v>
      </c>
      <c r="H17" s="253">
        <v>83437</v>
      </c>
      <c r="I17" s="260">
        <v>86079</v>
      </c>
      <c r="L17" s="547" t="s">
        <v>454</v>
      </c>
      <c r="M17" s="427">
        <v>51.746570034636584</v>
      </c>
      <c r="N17" s="549">
        <v>48.253429965363416</v>
      </c>
    </row>
    <row r="18" spans="3:14">
      <c r="C18" s="258" t="s">
        <v>700</v>
      </c>
      <c r="D18" s="535">
        <v>813087</v>
      </c>
      <c r="E18" s="535">
        <v>761481</v>
      </c>
      <c r="G18" s="258" t="s">
        <v>700</v>
      </c>
      <c r="H18" s="250">
        <v>84091</v>
      </c>
      <c r="I18" s="250">
        <v>91993</v>
      </c>
    </row>
    <row r="19" spans="3:14">
      <c r="C19" s="547" t="s">
        <v>701</v>
      </c>
      <c r="D19" s="542">
        <v>815972</v>
      </c>
      <c r="E19" s="543">
        <v>767938</v>
      </c>
      <c r="G19" s="547" t="s">
        <v>701</v>
      </c>
      <c r="H19" s="253">
        <v>81876</v>
      </c>
      <c r="I19" s="260">
        <v>88552</v>
      </c>
    </row>
    <row r="20" spans="3:14">
      <c r="C20" s="258" t="s">
        <v>702</v>
      </c>
      <c r="D20" s="535">
        <v>832895</v>
      </c>
      <c r="E20" s="535">
        <v>784555</v>
      </c>
      <c r="G20" s="258" t="s">
        <v>702</v>
      </c>
      <c r="H20" s="250">
        <v>87840</v>
      </c>
      <c r="I20" s="250">
        <v>99918</v>
      </c>
    </row>
    <row r="21" spans="3:14">
      <c r="C21" s="547" t="s">
        <v>703</v>
      </c>
      <c r="D21" s="542">
        <v>833247</v>
      </c>
      <c r="E21" s="543">
        <v>782065</v>
      </c>
      <c r="G21" s="547" t="s">
        <v>703</v>
      </c>
      <c r="H21" s="253">
        <v>88309</v>
      </c>
      <c r="I21" s="260">
        <v>102911</v>
      </c>
    </row>
    <row r="22" spans="3:14">
      <c r="C22" s="258" t="s">
        <v>704</v>
      </c>
      <c r="D22" s="535">
        <v>844801</v>
      </c>
      <c r="E22" s="544">
        <v>791657</v>
      </c>
      <c r="G22" s="258" t="s">
        <v>704</v>
      </c>
      <c r="H22" s="250">
        <v>95474</v>
      </c>
      <c r="I22" s="250">
        <v>110675</v>
      </c>
    </row>
    <row r="23" spans="3:14">
      <c r="C23" s="547" t="s">
        <v>705</v>
      </c>
      <c r="D23" s="542">
        <v>847508</v>
      </c>
      <c r="E23" s="543">
        <v>791897</v>
      </c>
      <c r="G23" s="547" t="s">
        <v>705</v>
      </c>
      <c r="H23" s="537">
        <v>103173</v>
      </c>
      <c r="I23" s="538">
        <v>118778</v>
      </c>
      <c r="L23" s="453"/>
      <c r="M23" s="453"/>
      <c r="N23" s="475" t="s">
        <v>332</v>
      </c>
    </row>
    <row r="24" spans="3:14">
      <c r="C24" s="258" t="s">
        <v>706</v>
      </c>
      <c r="D24" s="540">
        <v>829737</v>
      </c>
      <c r="E24" s="540">
        <v>777195</v>
      </c>
      <c r="G24" s="258" t="s">
        <v>706</v>
      </c>
      <c r="H24" s="540">
        <v>113332</v>
      </c>
      <c r="I24" s="540">
        <v>129696</v>
      </c>
      <c r="L24" s="1140" t="s">
        <v>735</v>
      </c>
      <c r="M24" s="1213" t="s">
        <v>737</v>
      </c>
      <c r="N24" s="1152"/>
    </row>
    <row r="25" spans="3:14">
      <c r="C25" s="547" t="s">
        <v>707</v>
      </c>
      <c r="D25" s="537">
        <v>816066</v>
      </c>
      <c r="E25" s="538">
        <v>767595</v>
      </c>
      <c r="G25" s="547" t="s">
        <v>707</v>
      </c>
      <c r="H25" s="537">
        <v>130076</v>
      </c>
      <c r="I25" s="538">
        <v>146329</v>
      </c>
      <c r="L25" s="1140"/>
      <c r="M25" s="551" t="s">
        <v>535</v>
      </c>
      <c r="N25" s="552" t="s">
        <v>536</v>
      </c>
    </row>
    <row r="26" spans="3:14">
      <c r="C26" s="258" t="s">
        <v>708</v>
      </c>
      <c r="D26" s="540">
        <v>801393</v>
      </c>
      <c r="E26" s="540">
        <v>754180</v>
      </c>
      <c r="G26" s="258" t="s">
        <v>708</v>
      </c>
      <c r="H26" s="540">
        <v>129699</v>
      </c>
      <c r="I26" s="540">
        <v>146523</v>
      </c>
      <c r="L26" s="532" t="s">
        <v>690</v>
      </c>
      <c r="M26" s="425">
        <v>58.46408701631556</v>
      </c>
      <c r="N26" s="550">
        <v>41.53591298368444</v>
      </c>
    </row>
    <row r="27" spans="3:14">
      <c r="C27" s="547" t="s">
        <v>709</v>
      </c>
      <c r="D27" s="537">
        <v>789141</v>
      </c>
      <c r="E27" s="538">
        <v>741973</v>
      </c>
      <c r="G27" s="547" t="s">
        <v>709</v>
      </c>
      <c r="H27" s="537">
        <v>145111</v>
      </c>
      <c r="I27" s="538">
        <v>164457</v>
      </c>
      <c r="L27" s="547" t="s">
        <v>695</v>
      </c>
      <c r="M27" s="427">
        <v>53.632248578937009</v>
      </c>
      <c r="N27" s="549">
        <v>46.367751421062991</v>
      </c>
    </row>
    <row r="28" spans="3:14">
      <c r="C28" s="258" t="s">
        <v>710</v>
      </c>
      <c r="D28" s="540">
        <v>761600</v>
      </c>
      <c r="E28" s="540">
        <v>722656</v>
      </c>
      <c r="G28" s="258" t="s">
        <v>710</v>
      </c>
      <c r="H28" s="540">
        <v>162567</v>
      </c>
      <c r="I28" s="540">
        <v>185344</v>
      </c>
      <c r="L28" s="258" t="s">
        <v>700</v>
      </c>
      <c r="M28" s="425">
        <v>47.756184548283777</v>
      </c>
      <c r="N28" s="479">
        <v>52.243815451716223</v>
      </c>
    </row>
    <row r="29" spans="3:14">
      <c r="C29" s="547" t="s">
        <v>711</v>
      </c>
      <c r="D29" s="537">
        <v>747633</v>
      </c>
      <c r="E29" s="538">
        <v>761549</v>
      </c>
      <c r="G29" s="547" t="s">
        <v>711</v>
      </c>
      <c r="H29" s="537">
        <v>176306</v>
      </c>
      <c r="I29" s="538">
        <v>224957</v>
      </c>
      <c r="L29" s="547" t="s">
        <v>705</v>
      </c>
      <c r="M29" s="427">
        <v>46.48458443530329</v>
      </c>
      <c r="N29" s="549">
        <v>53.51541556469671</v>
      </c>
    </row>
    <row r="30" spans="3:14">
      <c r="C30" s="258" t="s">
        <v>712</v>
      </c>
      <c r="D30" s="540">
        <v>739185</v>
      </c>
      <c r="E30" s="540">
        <v>702704</v>
      </c>
      <c r="G30" s="258" t="s">
        <v>712</v>
      </c>
      <c r="H30" s="540">
        <v>190417</v>
      </c>
      <c r="I30" s="540">
        <v>225444</v>
      </c>
      <c r="L30" s="258" t="s">
        <v>710</v>
      </c>
      <c r="M30" s="425">
        <v>46.726605367464671</v>
      </c>
      <c r="N30" s="479">
        <v>53.273394632535329</v>
      </c>
    </row>
    <row r="31" spans="3:14">
      <c r="C31" s="547" t="s">
        <v>713</v>
      </c>
      <c r="D31" s="537">
        <v>737757</v>
      </c>
      <c r="E31" s="538">
        <v>692067</v>
      </c>
      <c r="G31" s="547" t="s">
        <v>713</v>
      </c>
      <c r="H31" s="537">
        <v>207397</v>
      </c>
      <c r="I31" s="538">
        <v>230903</v>
      </c>
      <c r="L31" s="547" t="s">
        <v>680</v>
      </c>
      <c r="M31" s="427">
        <v>47.706408561232635</v>
      </c>
      <c r="N31" s="549">
        <v>52.293591438767365</v>
      </c>
    </row>
    <row r="32" spans="3:14">
      <c r="C32" s="258" t="s">
        <v>584</v>
      </c>
      <c r="D32" s="540">
        <v>726969</v>
      </c>
      <c r="E32" s="540">
        <v>681480</v>
      </c>
      <c r="G32" s="258" t="s">
        <v>584</v>
      </c>
      <c r="H32" s="540">
        <v>217620</v>
      </c>
      <c r="I32" s="540">
        <v>239574</v>
      </c>
      <c r="L32" s="532" t="s">
        <v>447</v>
      </c>
      <c r="M32" s="425">
        <v>47.096783549406886</v>
      </c>
      <c r="N32" s="479">
        <v>52.903216450593114</v>
      </c>
    </row>
    <row r="33" spans="3:17">
      <c r="C33" s="547" t="s">
        <v>680</v>
      </c>
      <c r="D33" s="537">
        <v>694652</v>
      </c>
      <c r="E33" s="538">
        <v>645097</v>
      </c>
      <c r="G33" s="547" t="s">
        <v>680</v>
      </c>
      <c r="H33" s="537">
        <v>227665</v>
      </c>
      <c r="I33" s="538">
        <v>249556</v>
      </c>
      <c r="L33" s="547" t="s">
        <v>452</v>
      </c>
      <c r="M33" s="427">
        <v>46.869602763385146</v>
      </c>
      <c r="N33" s="549">
        <v>53.130397236614854</v>
      </c>
    </row>
    <row r="34" spans="3:17">
      <c r="C34" s="532" t="s">
        <v>714</v>
      </c>
      <c r="D34" s="540">
        <v>674983</v>
      </c>
      <c r="E34" s="540">
        <v>630740</v>
      </c>
      <c r="G34" s="532" t="s">
        <v>714</v>
      </c>
      <c r="H34" s="540">
        <v>220366</v>
      </c>
      <c r="I34" s="540">
        <v>237866</v>
      </c>
      <c r="L34" s="532" t="s">
        <v>453</v>
      </c>
      <c r="M34" s="425">
        <v>47.437281160379129</v>
      </c>
      <c r="N34" s="550">
        <v>52.562718839620871</v>
      </c>
    </row>
    <row r="35" spans="3:17">
      <c r="C35" s="547" t="s">
        <v>715</v>
      </c>
      <c r="D35" s="537">
        <v>659339</v>
      </c>
      <c r="E35" s="538">
        <v>617037</v>
      </c>
      <c r="G35" s="547" t="s">
        <v>715</v>
      </c>
      <c r="H35" s="537">
        <v>210583</v>
      </c>
      <c r="I35" s="538">
        <v>232200</v>
      </c>
      <c r="L35" s="547" t="s">
        <v>454</v>
      </c>
      <c r="M35" s="427">
        <v>47.255756458937213</v>
      </c>
      <c r="N35" s="549">
        <v>52.744243541062787</v>
      </c>
    </row>
    <row r="36" spans="3:17">
      <c r="C36" s="532" t="s">
        <v>716</v>
      </c>
      <c r="D36" s="540">
        <v>647506</v>
      </c>
      <c r="E36" s="540">
        <v>611967</v>
      </c>
      <c r="G36" s="532" t="s">
        <v>716</v>
      </c>
      <c r="H36" s="540">
        <v>201238</v>
      </c>
      <c r="I36" s="540">
        <v>219767</v>
      </c>
    </row>
    <row r="37" spans="3:17">
      <c r="C37" s="547" t="s">
        <v>446</v>
      </c>
      <c r="D37" s="537">
        <v>637865</v>
      </c>
      <c r="E37" s="538">
        <v>602971</v>
      </c>
      <c r="G37" s="547" t="s">
        <v>446</v>
      </c>
      <c r="H37" s="537">
        <v>199674</v>
      </c>
      <c r="I37" s="538">
        <v>218031</v>
      </c>
    </row>
    <row r="38" spans="3:17">
      <c r="C38" s="532" t="s">
        <v>447</v>
      </c>
      <c r="D38" s="540">
        <v>630778</v>
      </c>
      <c r="E38" s="540">
        <v>592373</v>
      </c>
      <c r="G38" s="532" t="s">
        <v>447</v>
      </c>
      <c r="H38" s="540">
        <v>194862</v>
      </c>
      <c r="I38" s="540">
        <v>218886</v>
      </c>
    </row>
    <row r="39" spans="3:17">
      <c r="C39" s="547" t="s">
        <v>448</v>
      </c>
      <c r="D39" s="537">
        <v>616245</v>
      </c>
      <c r="E39" s="538">
        <v>576686</v>
      </c>
      <c r="G39" s="547" t="s">
        <v>448</v>
      </c>
      <c r="H39" s="537">
        <v>188056</v>
      </c>
      <c r="I39" s="538">
        <v>209476</v>
      </c>
    </row>
    <row r="40" spans="3:17">
      <c r="C40" s="532" t="s">
        <v>449</v>
      </c>
      <c r="D40" s="540">
        <v>604540</v>
      </c>
      <c r="E40" s="540">
        <v>569872</v>
      </c>
      <c r="G40" s="532" t="s">
        <v>449</v>
      </c>
      <c r="H40" s="540">
        <v>180544</v>
      </c>
      <c r="I40" s="540">
        <v>205045</v>
      </c>
    </row>
    <row r="41" spans="3:17">
      <c r="C41" s="547" t="s">
        <v>450</v>
      </c>
      <c r="D41" s="537">
        <v>601747</v>
      </c>
      <c r="E41" s="538">
        <v>564530</v>
      </c>
      <c r="G41" s="547" t="s">
        <v>450</v>
      </c>
      <c r="H41" s="537">
        <v>180987</v>
      </c>
      <c r="I41" s="538">
        <v>201225</v>
      </c>
    </row>
    <row r="42" spans="3:17">
      <c r="C42" s="532" t="s">
        <v>451</v>
      </c>
      <c r="D42" s="540">
        <v>594192</v>
      </c>
      <c r="E42" s="540">
        <v>558865</v>
      </c>
      <c r="G42" s="532" t="s">
        <v>451</v>
      </c>
      <c r="H42" s="540">
        <v>178468</v>
      </c>
      <c r="I42" s="540">
        <v>198428</v>
      </c>
      <c r="L42" s="1184" t="s">
        <v>742</v>
      </c>
      <c r="M42" s="1185"/>
      <c r="N42" s="1185"/>
      <c r="O42" s="1185"/>
      <c r="P42" s="1185"/>
      <c r="Q42" s="1185"/>
    </row>
    <row r="43" spans="3:17">
      <c r="C43" s="547" t="s">
        <v>452</v>
      </c>
      <c r="D43" s="537">
        <v>594457</v>
      </c>
      <c r="E43" s="538">
        <v>550777</v>
      </c>
      <c r="G43" s="547" t="s">
        <v>452</v>
      </c>
      <c r="H43" s="537">
        <v>162825</v>
      </c>
      <c r="I43" s="538">
        <v>184575</v>
      </c>
    </row>
    <row r="44" spans="3:17">
      <c r="C44" s="532" t="s">
        <v>724</v>
      </c>
      <c r="D44" s="546">
        <v>601265</v>
      </c>
      <c r="E44" s="546">
        <v>553916</v>
      </c>
      <c r="G44" s="532" t="s">
        <v>453</v>
      </c>
      <c r="H44" s="546">
        <v>169214</v>
      </c>
      <c r="I44" s="546">
        <v>187497</v>
      </c>
    </row>
    <row r="45" spans="3:17">
      <c r="C45" s="547" t="s">
        <v>741</v>
      </c>
      <c r="D45" s="537">
        <v>614327</v>
      </c>
      <c r="E45" s="538">
        <v>572857</v>
      </c>
      <c r="G45" s="547" t="s">
        <v>454</v>
      </c>
      <c r="H45" s="537">
        <v>165148</v>
      </c>
      <c r="I45" s="538">
        <v>184329</v>
      </c>
    </row>
  </sheetData>
  <mergeCells count="10">
    <mergeCell ref="C1:AM1"/>
    <mergeCell ref="L24:L25"/>
    <mergeCell ref="M24:N24"/>
    <mergeCell ref="L42:Q42"/>
    <mergeCell ref="C6:C7"/>
    <mergeCell ref="D6:E6"/>
    <mergeCell ref="G6:G7"/>
    <mergeCell ref="H6:I6"/>
    <mergeCell ref="L6:L7"/>
    <mergeCell ref="M6:N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AM48"/>
  <sheetViews>
    <sheetView workbookViewId="0"/>
  </sheetViews>
  <sheetFormatPr defaultRowHeight="15"/>
  <cols>
    <col min="1" max="1" width="2.28515625" customWidth="1"/>
    <col min="2" max="2" width="5.7109375" customWidth="1"/>
    <col min="3" max="3" width="13.140625" customWidth="1"/>
    <col min="6" max="6" width="0.710937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</v>
      </c>
    </row>
    <row r="3" spans="2:39">
      <c r="C3" s="3"/>
    </row>
    <row r="4" spans="2:39">
      <c r="C4" s="3"/>
    </row>
    <row r="5" spans="2:39">
      <c r="C5" s="3"/>
    </row>
    <row r="7" spans="2:39">
      <c r="D7" s="1091">
        <v>1995</v>
      </c>
      <c r="E7" s="1091"/>
      <c r="F7" s="1091"/>
      <c r="G7" s="1091"/>
      <c r="H7" s="1091"/>
    </row>
    <row r="8" spans="2:39" ht="16.5" customHeight="1">
      <c r="C8" s="7" t="s">
        <v>306</v>
      </c>
      <c r="D8" s="8" t="s">
        <v>307</v>
      </c>
      <c r="E8" s="9" t="s">
        <v>308</v>
      </c>
      <c r="F8" s="10"/>
      <c r="G8" s="11" t="s">
        <v>307</v>
      </c>
      <c r="H8" s="9" t="s">
        <v>308</v>
      </c>
    </row>
    <row r="9" spans="2:39" ht="16.5" customHeight="1">
      <c r="C9" s="12" t="s">
        <v>309</v>
      </c>
      <c r="D9" s="13">
        <v>334280</v>
      </c>
      <c r="E9" s="13">
        <v>316878</v>
      </c>
      <c r="F9" s="14"/>
      <c r="G9" s="15">
        <v>3.3284278485499613E-2</v>
      </c>
      <c r="H9" s="15">
        <v>3.1551560362355346E-2</v>
      </c>
    </row>
    <row r="10" spans="2:39" ht="16.5" customHeight="1">
      <c r="C10" s="12" t="s">
        <v>310</v>
      </c>
      <c r="D10" s="16">
        <v>422332</v>
      </c>
      <c r="E10" s="16">
        <v>401891</v>
      </c>
      <c r="F10" s="14"/>
      <c r="G10" s="15">
        <v>4.2051621100089809E-2</v>
      </c>
      <c r="H10" s="15">
        <v>4.0016309575254053E-2</v>
      </c>
    </row>
    <row r="11" spans="2:39" ht="16.5" customHeight="1">
      <c r="C11" s="12" t="s">
        <v>311</v>
      </c>
      <c r="D11" s="16">
        <v>454004</v>
      </c>
      <c r="E11" s="16">
        <v>438630</v>
      </c>
      <c r="F11" s="14"/>
      <c r="G11" s="15">
        <v>4.5205203929432711E-2</v>
      </c>
      <c r="H11" s="15">
        <v>4.3674413880862434E-2</v>
      </c>
    </row>
    <row r="12" spans="2:39" ht="16.5" customHeight="1">
      <c r="C12" s="12" t="s">
        <v>312</v>
      </c>
      <c r="D12" s="16">
        <v>498675</v>
      </c>
      <c r="E12" s="16">
        <v>489026</v>
      </c>
      <c r="F12" s="14"/>
      <c r="G12" s="15">
        <v>4.9653097923167765E-2</v>
      </c>
      <c r="H12" s="15">
        <v>4.8692346448037375E-2</v>
      </c>
    </row>
    <row r="13" spans="2:39" ht="16.5" customHeight="1">
      <c r="C13" s="12" t="s">
        <v>313</v>
      </c>
      <c r="D13" s="16">
        <v>376956</v>
      </c>
      <c r="E13" s="16">
        <v>375224</v>
      </c>
      <c r="F13" s="14"/>
      <c r="G13" s="15">
        <v>3.7533530216525043E-2</v>
      </c>
      <c r="H13" s="15">
        <v>3.7361074878673885E-2</v>
      </c>
    </row>
    <row r="14" spans="2:39" ht="16.5" customHeight="1">
      <c r="C14" s="12" t="s">
        <v>314</v>
      </c>
      <c r="D14" s="16">
        <v>363230</v>
      </c>
      <c r="E14" s="16">
        <v>375518</v>
      </c>
      <c r="F14" s="14"/>
      <c r="G14" s="15">
        <v>3.6166831621060262E-2</v>
      </c>
      <c r="H14" s="15">
        <v>3.7390348475283726E-2</v>
      </c>
    </row>
    <row r="15" spans="2:39" ht="16.5" customHeight="1">
      <c r="C15" s="12" t="s">
        <v>315</v>
      </c>
      <c r="D15" s="16">
        <v>1764477</v>
      </c>
      <c r="E15" s="16">
        <v>1923968</v>
      </c>
      <c r="F15" s="14"/>
      <c r="G15" s="15">
        <v>0.1756890745759809</v>
      </c>
      <c r="H15" s="15">
        <v>0.19156960245659244</v>
      </c>
    </row>
    <row r="16" spans="2:39" ht="16.5" customHeight="1">
      <c r="C16" s="12" t="s">
        <v>316</v>
      </c>
      <c r="D16" s="16">
        <v>626300</v>
      </c>
      <c r="E16" s="16">
        <v>881791</v>
      </c>
      <c r="F16" s="14"/>
      <c r="G16" s="15">
        <v>6.2360726383476152E-2</v>
      </c>
      <c r="H16" s="15">
        <v>8.7799979687708474E-2</v>
      </c>
    </row>
    <row r="17" spans="3:8" ht="17.25" customHeight="1">
      <c r="C17" s="1092" t="s">
        <v>317</v>
      </c>
      <c r="D17" s="413">
        <v>4840254</v>
      </c>
      <c r="E17" s="414">
        <v>5202926</v>
      </c>
      <c r="F17" s="415"/>
      <c r="G17" s="416">
        <v>0.48194436423523229</v>
      </c>
      <c r="H17" s="417">
        <v>0.51805563576476765</v>
      </c>
    </row>
    <row r="18" spans="3:8" ht="16.5" customHeight="1">
      <c r="C18" s="1093"/>
      <c r="D18" s="1088">
        <v>10043180</v>
      </c>
      <c r="E18" s="1089"/>
      <c r="F18" s="415"/>
      <c r="G18" s="1094">
        <v>1</v>
      </c>
      <c r="H18" s="1089"/>
    </row>
    <row r="28" spans="3:8">
      <c r="D28" s="1091">
        <v>2009</v>
      </c>
      <c r="E28" s="1091"/>
      <c r="F28" s="1091"/>
      <c r="G28" s="1091"/>
      <c r="H28" s="1091"/>
    </row>
    <row r="29" spans="3:8" ht="16.5" customHeight="1">
      <c r="C29" s="17" t="s">
        <v>306</v>
      </c>
      <c r="D29" s="18" t="s">
        <v>307</v>
      </c>
      <c r="E29" s="19" t="s">
        <v>308</v>
      </c>
      <c r="F29" s="10"/>
      <c r="G29" s="20" t="s">
        <v>307</v>
      </c>
      <c r="H29" s="21" t="s">
        <v>308</v>
      </c>
    </row>
    <row r="30" spans="3:8" ht="16.5" customHeight="1">
      <c r="C30" s="12" t="s">
        <v>309</v>
      </c>
      <c r="D30" s="13">
        <v>322515</v>
      </c>
      <c r="E30" s="13">
        <v>305884</v>
      </c>
      <c r="F30" s="14"/>
      <c r="G30" s="15">
        <v>3.0318076827227806E-2</v>
      </c>
      <c r="H30" s="15">
        <v>2.8754676874625212E-2</v>
      </c>
    </row>
    <row r="31" spans="3:8" ht="16.5" customHeight="1">
      <c r="C31" s="12" t="s">
        <v>310</v>
      </c>
      <c r="D31" s="16">
        <v>395618</v>
      </c>
      <c r="E31" s="16">
        <v>376169</v>
      </c>
      <c r="F31" s="14"/>
      <c r="G31" s="15">
        <v>3.7190136639332155E-2</v>
      </c>
      <c r="H31" s="15">
        <v>3.5361830122696489E-2</v>
      </c>
    </row>
    <row r="32" spans="3:8" ht="16.5" customHeight="1">
      <c r="C32" s="12" t="s">
        <v>311</v>
      </c>
      <c r="D32" s="16">
        <v>339264</v>
      </c>
      <c r="E32" s="16">
        <v>325419</v>
      </c>
      <c r="F32" s="14"/>
      <c r="G32" s="15">
        <v>3.1892569389679909E-2</v>
      </c>
      <c r="H32" s="15">
        <v>3.0591067835727473E-2</v>
      </c>
    </row>
    <row r="33" spans="3:8" ht="16.5" customHeight="1">
      <c r="C33" s="12" t="s">
        <v>312</v>
      </c>
      <c r="D33" s="16">
        <v>374157</v>
      </c>
      <c r="E33" s="16">
        <v>359026</v>
      </c>
      <c r="F33" s="14"/>
      <c r="G33" s="15">
        <v>3.5172691724245614E-2</v>
      </c>
      <c r="H33" s="15">
        <v>3.3750299523967228E-2</v>
      </c>
    </row>
    <row r="34" spans="3:8" ht="16.5" customHeight="1">
      <c r="C34" s="12" t="s">
        <v>313</v>
      </c>
      <c r="D34" s="16">
        <v>376449</v>
      </c>
      <c r="E34" s="16">
        <v>366312</v>
      </c>
      <c r="F34" s="14"/>
      <c r="G34" s="15">
        <v>3.5388151569797001E-2</v>
      </c>
      <c r="H34" s="15">
        <v>3.4435221179590011E-2</v>
      </c>
    </row>
    <row r="35" spans="3:8" ht="16.5" customHeight="1">
      <c r="C35" s="12" t="s">
        <v>314</v>
      </c>
      <c r="D35" s="16">
        <v>421730</v>
      </c>
      <c r="E35" s="16">
        <v>414387</v>
      </c>
      <c r="F35" s="14"/>
      <c r="G35" s="15">
        <v>3.9644799591791957E-2</v>
      </c>
      <c r="H35" s="15">
        <v>3.8954519641580858E-2</v>
      </c>
    </row>
    <row r="36" spans="3:8" ht="16.5" customHeight="1">
      <c r="C36" s="12" t="s">
        <v>315</v>
      </c>
      <c r="D36" s="16">
        <v>2125058</v>
      </c>
      <c r="E36" s="16">
        <v>2234572</v>
      </c>
      <c r="F36" s="14"/>
      <c r="G36" s="15">
        <v>0.19976643475905018</v>
      </c>
      <c r="H36" s="15">
        <v>0.21006131675107234</v>
      </c>
    </row>
    <row r="37" spans="3:8" ht="16.5" customHeight="1">
      <c r="C37" s="12" t="s">
        <v>316</v>
      </c>
      <c r="D37" s="16">
        <v>793412</v>
      </c>
      <c r="E37" s="16">
        <v>1107741</v>
      </c>
      <c r="F37" s="14"/>
      <c r="G37" s="15">
        <v>7.4584828524702634E-2</v>
      </c>
      <c r="H37" s="15">
        <v>0.10413337904491313</v>
      </c>
    </row>
    <row r="38" spans="3:8" ht="17.25" customHeight="1">
      <c r="C38" s="1092" t="s">
        <v>317</v>
      </c>
      <c r="D38" s="413">
        <v>5148203</v>
      </c>
      <c r="E38" s="414">
        <v>5489510</v>
      </c>
      <c r="F38" s="415"/>
      <c r="G38" s="418">
        <v>0.48395768902582725</v>
      </c>
      <c r="H38" s="417">
        <v>0.51604231097417275</v>
      </c>
    </row>
    <row r="39" spans="3:8" ht="16.5" customHeight="1">
      <c r="C39" s="1093"/>
      <c r="D39" s="1088">
        <v>10637713</v>
      </c>
      <c r="E39" s="1089"/>
      <c r="F39" s="415"/>
      <c r="G39" s="1090">
        <v>1</v>
      </c>
      <c r="H39" s="1089"/>
    </row>
    <row r="46" spans="3:8">
      <c r="C46" s="2" t="s">
        <v>319</v>
      </c>
    </row>
    <row r="48" spans="3:8">
      <c r="C48" s="22" t="s">
        <v>318</v>
      </c>
    </row>
  </sheetData>
  <mergeCells count="9">
    <mergeCell ref="C1:AM1"/>
    <mergeCell ref="D39:E39"/>
    <mergeCell ref="G39:H39"/>
    <mergeCell ref="D28:H28"/>
    <mergeCell ref="C38:C39"/>
    <mergeCell ref="D7:H7"/>
    <mergeCell ref="C17:C18"/>
    <mergeCell ref="D18:E18"/>
    <mergeCell ref="G18:H18"/>
  </mergeCells>
  <hyperlinks>
    <hyperlink ref="C48" r:id="rId1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B1:AM44"/>
  <sheetViews>
    <sheetView workbookViewId="0"/>
  </sheetViews>
  <sheetFormatPr defaultRowHeight="15"/>
  <cols>
    <col min="1" max="1" width="2.28515625" customWidth="1"/>
    <col min="2" max="2" width="5.7109375" customWidth="1"/>
    <col min="3" max="7" width="10.855468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58</v>
      </c>
    </row>
    <row r="5" spans="2:39" ht="16.5" customHeight="1">
      <c r="C5" s="1204" t="s">
        <v>735</v>
      </c>
      <c r="D5" s="1214" t="s">
        <v>633</v>
      </c>
      <c r="E5" s="1214" t="s">
        <v>634</v>
      </c>
      <c r="F5" s="1214" t="s">
        <v>635</v>
      </c>
      <c r="G5" s="1216" t="s">
        <v>737</v>
      </c>
    </row>
    <row r="6" spans="2:39" ht="16.5" customHeight="1">
      <c r="C6" s="1205"/>
      <c r="D6" s="1215"/>
      <c r="E6" s="1215"/>
      <c r="F6" s="1215"/>
      <c r="G6" s="1217"/>
    </row>
    <row r="7" spans="2:39" ht="16.5" customHeight="1">
      <c r="C7" s="532" t="s">
        <v>690</v>
      </c>
      <c r="D7" s="535">
        <v>52315</v>
      </c>
      <c r="E7" s="535">
        <v>49022</v>
      </c>
      <c r="F7" s="535">
        <v>42332</v>
      </c>
      <c r="G7" s="535">
        <v>6268</v>
      </c>
    </row>
    <row r="8" spans="2:39" ht="16.5" customHeight="1">
      <c r="C8" s="547" t="s">
        <v>738</v>
      </c>
      <c r="D8" s="537">
        <v>52992</v>
      </c>
      <c r="E8" s="537">
        <v>47220</v>
      </c>
      <c r="F8" s="537">
        <v>43745</v>
      </c>
      <c r="G8" s="538">
        <v>5308</v>
      </c>
    </row>
    <row r="9" spans="2:39" ht="16.5" customHeight="1">
      <c r="C9" s="532" t="s">
        <v>692</v>
      </c>
      <c r="D9" s="540">
        <v>57017</v>
      </c>
      <c r="E9" s="540">
        <v>38630</v>
      </c>
      <c r="F9" s="540">
        <v>43084</v>
      </c>
      <c r="G9" s="540">
        <v>4870</v>
      </c>
    </row>
    <row r="10" spans="2:39" ht="16.5" customHeight="1">
      <c r="C10" s="547" t="s">
        <v>693</v>
      </c>
      <c r="D10" s="537">
        <v>59776</v>
      </c>
      <c r="E10" s="537">
        <v>34270</v>
      </c>
      <c r="F10" s="537">
        <v>41125</v>
      </c>
      <c r="G10" s="538">
        <v>4755</v>
      </c>
    </row>
    <row r="11" spans="2:39" ht="16.5" customHeight="1">
      <c r="C11" s="532" t="s">
        <v>694</v>
      </c>
      <c r="D11" s="540">
        <v>57187</v>
      </c>
      <c r="E11" s="540">
        <v>25363</v>
      </c>
      <c r="F11" s="540">
        <v>33914</v>
      </c>
      <c r="G11" s="540">
        <v>3716</v>
      </c>
    </row>
    <row r="12" spans="2:39" ht="16.5" customHeight="1">
      <c r="C12" s="547" t="s">
        <v>695</v>
      </c>
      <c r="D12" s="537">
        <v>39293</v>
      </c>
      <c r="E12" s="537">
        <v>19054</v>
      </c>
      <c r="F12" s="537">
        <v>30266</v>
      </c>
      <c r="G12" s="538">
        <v>3375</v>
      </c>
    </row>
    <row r="13" spans="2:39" ht="16.5" customHeight="1">
      <c r="C13" s="258" t="s">
        <v>696</v>
      </c>
      <c r="D13" s="540">
        <v>46186</v>
      </c>
      <c r="E13" s="540">
        <v>19790</v>
      </c>
      <c r="F13" s="540">
        <v>28064</v>
      </c>
      <c r="G13" s="540">
        <v>4541</v>
      </c>
    </row>
    <row r="14" spans="2:39" ht="16.5" customHeight="1">
      <c r="C14" s="547" t="s">
        <v>697</v>
      </c>
      <c r="D14" s="542">
        <v>57635</v>
      </c>
      <c r="E14" s="542">
        <v>20338</v>
      </c>
      <c r="F14" s="542">
        <v>25986</v>
      </c>
      <c r="G14" s="543">
        <v>4373</v>
      </c>
    </row>
    <row r="15" spans="2:39" ht="16.5" customHeight="1">
      <c r="C15" s="258" t="s">
        <v>698</v>
      </c>
      <c r="D15" s="535">
        <v>59534</v>
      </c>
      <c r="E15" s="535">
        <v>23982</v>
      </c>
      <c r="F15" s="535">
        <v>25631</v>
      </c>
      <c r="G15" s="535">
        <v>4777</v>
      </c>
    </row>
    <row r="16" spans="2:39" ht="16.5" customHeight="1">
      <c r="C16" s="547" t="s">
        <v>699</v>
      </c>
      <c r="D16" s="542">
        <v>63335</v>
      </c>
      <c r="E16" s="542">
        <v>23999</v>
      </c>
      <c r="F16" s="542">
        <v>24044</v>
      </c>
      <c r="G16" s="543">
        <v>5687</v>
      </c>
    </row>
    <row r="17" spans="3:7" ht="16.5" customHeight="1">
      <c r="C17" s="258" t="s">
        <v>700</v>
      </c>
      <c r="D17" s="535">
        <v>64779</v>
      </c>
      <c r="E17" s="535">
        <v>23000</v>
      </c>
      <c r="F17" s="535">
        <v>20279</v>
      </c>
      <c r="G17" s="535">
        <v>3904</v>
      </c>
    </row>
    <row r="18" spans="3:7" ht="16.5" customHeight="1">
      <c r="C18" s="547" t="s">
        <v>701</v>
      </c>
      <c r="D18" s="542">
        <v>65308</v>
      </c>
      <c r="E18" s="542">
        <v>24403</v>
      </c>
      <c r="F18" s="542">
        <v>18158</v>
      </c>
      <c r="G18" s="543">
        <v>9403</v>
      </c>
    </row>
    <row r="19" spans="3:7" ht="16.5" customHeight="1">
      <c r="C19" s="258" t="s">
        <v>702</v>
      </c>
      <c r="D19" s="535">
        <v>65455</v>
      </c>
      <c r="E19" s="535">
        <v>23544</v>
      </c>
      <c r="F19" s="535">
        <v>18569</v>
      </c>
      <c r="G19" s="535">
        <v>10435</v>
      </c>
    </row>
    <row r="20" spans="3:7" ht="16.5" customHeight="1">
      <c r="C20" s="547" t="s">
        <v>703</v>
      </c>
      <c r="D20" s="542">
        <v>64977</v>
      </c>
      <c r="E20" s="542">
        <v>28999</v>
      </c>
      <c r="F20" s="542">
        <v>19484</v>
      </c>
      <c r="G20" s="543">
        <v>9485</v>
      </c>
    </row>
    <row r="21" spans="3:7" ht="16.5" customHeight="1">
      <c r="C21" s="258" t="s">
        <v>704</v>
      </c>
      <c r="D21" s="535">
        <v>61611</v>
      </c>
      <c r="E21" s="535">
        <v>24471</v>
      </c>
      <c r="F21" s="535">
        <v>17921</v>
      </c>
      <c r="G21" s="544">
        <v>9548</v>
      </c>
    </row>
    <row r="22" spans="3:7" ht="16.5" customHeight="1">
      <c r="C22" s="547" t="s">
        <v>705</v>
      </c>
      <c r="D22" s="542">
        <v>56281</v>
      </c>
      <c r="E22" s="542">
        <v>34630</v>
      </c>
      <c r="F22" s="542">
        <v>39720</v>
      </c>
      <c r="G22" s="543">
        <v>12718</v>
      </c>
    </row>
    <row r="23" spans="3:7" ht="16.5" customHeight="1">
      <c r="C23" s="258" t="s">
        <v>706</v>
      </c>
      <c r="D23" s="535">
        <v>51470</v>
      </c>
      <c r="E23" s="535">
        <v>36783</v>
      </c>
      <c r="F23" s="535">
        <v>36991</v>
      </c>
      <c r="G23" s="535">
        <v>12630</v>
      </c>
    </row>
    <row r="24" spans="3:7" ht="16.5" customHeight="1">
      <c r="C24" s="547" t="s">
        <v>707</v>
      </c>
      <c r="D24" s="542">
        <v>49469</v>
      </c>
      <c r="E24" s="542">
        <v>40288</v>
      </c>
      <c r="F24" s="542">
        <v>35662</v>
      </c>
      <c r="G24" s="543">
        <v>18667</v>
      </c>
    </row>
    <row r="25" spans="3:7" ht="16.5" customHeight="1">
      <c r="C25" s="258" t="s">
        <v>708</v>
      </c>
      <c r="D25" s="535">
        <v>47454</v>
      </c>
      <c r="E25" s="535">
        <v>24024</v>
      </c>
      <c r="F25" s="535">
        <v>35219</v>
      </c>
      <c r="G25" s="535">
        <v>19442</v>
      </c>
    </row>
    <row r="26" spans="3:7" ht="16.5" customHeight="1">
      <c r="C26" s="547" t="s">
        <v>709</v>
      </c>
      <c r="D26" s="537">
        <v>45440</v>
      </c>
      <c r="E26" s="537">
        <v>27415</v>
      </c>
      <c r="F26" s="537">
        <v>37734</v>
      </c>
      <c r="G26" s="538">
        <v>23955</v>
      </c>
    </row>
    <row r="27" spans="3:7" ht="16.5" customHeight="1">
      <c r="C27" s="258" t="s">
        <v>710</v>
      </c>
      <c r="D27" s="540">
        <v>53115</v>
      </c>
      <c r="E27" s="540">
        <v>26043</v>
      </c>
      <c r="F27" s="540">
        <v>38682</v>
      </c>
      <c r="G27" s="540">
        <v>29672</v>
      </c>
    </row>
    <row r="28" spans="3:7" ht="16.5" customHeight="1">
      <c r="C28" s="547" t="s">
        <v>711</v>
      </c>
      <c r="D28" s="537">
        <v>52699</v>
      </c>
      <c r="E28" s="537">
        <v>27391</v>
      </c>
      <c r="F28" s="537">
        <v>45223</v>
      </c>
      <c r="G28" s="538">
        <v>40339</v>
      </c>
    </row>
    <row r="29" spans="3:7" ht="16.5" customHeight="1">
      <c r="C29" s="258" t="s">
        <v>712</v>
      </c>
      <c r="D29" s="540">
        <v>46498</v>
      </c>
      <c r="E29" s="540">
        <v>27515</v>
      </c>
      <c r="F29" s="540">
        <v>45026</v>
      </c>
      <c r="G29" s="540">
        <v>48778</v>
      </c>
    </row>
    <row r="30" spans="3:7" ht="16.5" customHeight="1">
      <c r="C30" s="547" t="s">
        <v>713</v>
      </c>
      <c r="D30" s="537">
        <v>44647</v>
      </c>
      <c r="E30" s="537">
        <v>28254</v>
      </c>
      <c r="F30" s="537">
        <v>42368</v>
      </c>
      <c r="G30" s="538">
        <v>52952</v>
      </c>
    </row>
    <row r="31" spans="3:7" ht="16.5" customHeight="1">
      <c r="C31" s="258" t="s">
        <v>584</v>
      </c>
      <c r="D31" s="540">
        <v>47570</v>
      </c>
      <c r="E31" s="540">
        <v>25160</v>
      </c>
      <c r="F31" s="540">
        <v>41813</v>
      </c>
      <c r="G31" s="540">
        <v>57092</v>
      </c>
    </row>
    <row r="32" spans="3:7" ht="16.5" customHeight="1">
      <c r="C32" s="547" t="s">
        <v>680</v>
      </c>
      <c r="D32" s="537">
        <v>47210</v>
      </c>
      <c r="E32" s="537">
        <v>25727</v>
      </c>
      <c r="F32" s="537">
        <v>41998</v>
      </c>
      <c r="G32" s="538">
        <v>60912</v>
      </c>
    </row>
    <row r="33" spans="3:7" ht="16.5" customHeight="1">
      <c r="C33" s="532" t="s">
        <v>714</v>
      </c>
      <c r="D33" s="546">
        <v>46033</v>
      </c>
      <c r="E33" s="546">
        <v>27233</v>
      </c>
      <c r="F33" s="546">
        <v>44152</v>
      </c>
      <c r="G33" s="546">
        <v>60066</v>
      </c>
    </row>
    <row r="34" spans="3:7" ht="16.5" customHeight="1">
      <c r="C34" s="547" t="s">
        <v>715</v>
      </c>
      <c r="D34" s="537">
        <v>45412</v>
      </c>
      <c r="E34" s="537">
        <v>26831</v>
      </c>
      <c r="F34" s="537">
        <v>42325</v>
      </c>
      <c r="G34" s="538">
        <v>60522</v>
      </c>
    </row>
    <row r="35" spans="3:7" ht="16.5" customHeight="1">
      <c r="C35" s="532" t="s">
        <v>716</v>
      </c>
      <c r="D35" s="546">
        <v>49080</v>
      </c>
      <c r="E35" s="546">
        <v>27584</v>
      </c>
      <c r="F35" s="546">
        <v>42005</v>
      </c>
      <c r="G35" s="546">
        <v>58862</v>
      </c>
    </row>
    <row r="36" spans="3:7" ht="16.5" customHeight="1">
      <c r="C36" s="547" t="s">
        <v>446</v>
      </c>
      <c r="D36" s="537">
        <v>50894</v>
      </c>
      <c r="E36" s="537">
        <v>28165</v>
      </c>
      <c r="F36" s="537">
        <v>42076</v>
      </c>
      <c r="G36" s="538">
        <v>62873</v>
      </c>
    </row>
    <row r="37" spans="3:7" ht="16.5" customHeight="1">
      <c r="C37" s="532" t="s">
        <v>447</v>
      </c>
      <c r="D37" s="546">
        <v>52251</v>
      </c>
      <c r="E37" s="546">
        <v>28058</v>
      </c>
      <c r="F37" s="546">
        <v>42941</v>
      </c>
      <c r="G37" s="546">
        <v>69613</v>
      </c>
    </row>
    <row r="38" spans="3:7" ht="16.5" customHeight="1">
      <c r="C38" s="547" t="s">
        <v>448</v>
      </c>
      <c r="D38" s="537">
        <v>51970</v>
      </c>
      <c r="E38" s="537">
        <v>29188</v>
      </c>
      <c r="F38" s="537">
        <v>42908</v>
      </c>
      <c r="G38" s="538">
        <v>71487</v>
      </c>
    </row>
    <row r="39" spans="3:7" ht="16.5" customHeight="1">
      <c r="C39" s="532" t="s">
        <v>449</v>
      </c>
      <c r="D39" s="546">
        <v>49788</v>
      </c>
      <c r="E39" s="546">
        <v>30923</v>
      </c>
      <c r="F39" s="546">
        <v>44348</v>
      </c>
      <c r="G39" s="546">
        <v>68741</v>
      </c>
    </row>
    <row r="40" spans="3:7" ht="16.5" customHeight="1">
      <c r="C40" s="547" t="s">
        <v>450</v>
      </c>
      <c r="D40" s="537">
        <v>49396</v>
      </c>
      <c r="E40" s="537">
        <v>30473</v>
      </c>
      <c r="F40" s="537">
        <v>44443</v>
      </c>
      <c r="G40" s="538">
        <v>67146</v>
      </c>
    </row>
    <row r="41" spans="3:7" ht="16.5" customHeight="1">
      <c r="C41" s="532" t="s">
        <v>451</v>
      </c>
      <c r="D41" s="546">
        <v>49954</v>
      </c>
      <c r="E41" s="546">
        <v>29620</v>
      </c>
      <c r="F41" s="546">
        <v>44310</v>
      </c>
      <c r="G41" s="546">
        <v>66134</v>
      </c>
    </row>
    <row r="42" spans="3:7" ht="16.5" customHeight="1">
      <c r="C42" s="547" t="s">
        <v>452</v>
      </c>
      <c r="D42" s="537">
        <v>51722</v>
      </c>
      <c r="E42" s="537">
        <v>29764</v>
      </c>
      <c r="F42" s="537">
        <v>46381</v>
      </c>
      <c r="G42" s="538">
        <v>64976</v>
      </c>
    </row>
    <row r="43" spans="3:7" ht="16.5" customHeight="1">
      <c r="C43" s="532" t="s">
        <v>453</v>
      </c>
      <c r="D43" s="546">
        <v>53296</v>
      </c>
      <c r="E43" s="546">
        <v>30340</v>
      </c>
      <c r="F43" s="546">
        <v>47736</v>
      </c>
      <c r="G43" s="546">
        <v>66997</v>
      </c>
    </row>
    <row r="44" spans="3:7" ht="16.5" customHeight="1">
      <c r="C44" s="547" t="s">
        <v>454</v>
      </c>
      <c r="D44" s="537">
        <v>52824</v>
      </c>
      <c r="E44" s="537">
        <v>30052</v>
      </c>
      <c r="F44" s="537">
        <v>52924</v>
      </c>
      <c r="G44" s="538">
        <v>69191</v>
      </c>
    </row>
  </sheetData>
  <mergeCells count="6">
    <mergeCell ref="C1:AM1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B1:AM21"/>
  <sheetViews>
    <sheetView workbookViewId="0">
      <selection activeCell="C1" sqref="C1:AM1"/>
    </sheetView>
  </sheetViews>
  <sheetFormatPr defaultRowHeight="15"/>
  <cols>
    <col min="1" max="1" width="2.28515625" customWidth="1"/>
    <col min="2" max="2" width="5.7109375" customWidth="1"/>
    <col min="3" max="6" width="12.285156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60</v>
      </c>
    </row>
    <row r="5" spans="2:39" ht="22.5" customHeight="1">
      <c r="F5" s="475" t="s">
        <v>335</v>
      </c>
    </row>
    <row r="6" spans="2:39" ht="21" customHeight="1">
      <c r="C6" s="553" t="s">
        <v>735</v>
      </c>
      <c r="D6" s="420" t="s">
        <v>743</v>
      </c>
      <c r="E6" s="420" t="s">
        <v>744</v>
      </c>
      <c r="F6" s="111" t="s">
        <v>469</v>
      </c>
    </row>
    <row r="7" spans="2:39" ht="2.25" customHeight="1">
      <c r="C7" s="488"/>
      <c r="D7" s="488"/>
      <c r="E7" s="488"/>
      <c r="F7" s="488"/>
    </row>
    <row r="8" spans="2:39" ht="17.25" customHeight="1">
      <c r="C8" s="555" t="s">
        <v>680</v>
      </c>
      <c r="D8" s="556">
        <v>2457</v>
      </c>
      <c r="E8" s="556">
        <v>22777</v>
      </c>
      <c r="F8" s="557">
        <f t="shared" ref="F8:F12" si="0">SUM(D8:E8)</f>
        <v>25234</v>
      </c>
    </row>
    <row r="9" spans="2:39" ht="17.25" customHeight="1">
      <c r="C9" s="558" t="s">
        <v>714</v>
      </c>
      <c r="D9" s="559">
        <v>2660</v>
      </c>
      <c r="E9" s="559">
        <v>24026</v>
      </c>
      <c r="F9" s="560">
        <f t="shared" si="0"/>
        <v>26686</v>
      </c>
    </row>
    <row r="10" spans="2:39" ht="17.25" customHeight="1">
      <c r="C10" s="555" t="s">
        <v>715</v>
      </c>
      <c r="D10" s="556">
        <v>2776</v>
      </c>
      <c r="E10" s="556">
        <v>25604</v>
      </c>
      <c r="F10" s="557">
        <f t="shared" si="0"/>
        <v>28380</v>
      </c>
    </row>
    <row r="11" spans="2:39" ht="17.25" customHeight="1">
      <c r="C11" s="558" t="s">
        <v>716</v>
      </c>
      <c r="D11" s="559">
        <v>2896</v>
      </c>
      <c r="E11" s="559">
        <v>25099</v>
      </c>
      <c r="F11" s="560">
        <f t="shared" si="0"/>
        <v>27995</v>
      </c>
    </row>
    <row r="12" spans="2:39" ht="17.25" customHeight="1">
      <c r="C12" s="555" t="s">
        <v>446</v>
      </c>
      <c r="D12" s="556">
        <v>2340</v>
      </c>
      <c r="E12" s="556">
        <v>26760</v>
      </c>
      <c r="F12" s="557">
        <f t="shared" si="0"/>
        <v>29100</v>
      </c>
    </row>
    <row r="13" spans="2:39" ht="17.25" customHeight="1">
      <c r="C13" s="561" t="s">
        <v>447</v>
      </c>
      <c r="D13" s="559">
        <v>2274</v>
      </c>
      <c r="E13" s="559">
        <v>28394</v>
      </c>
      <c r="F13" s="560">
        <f>SUM(D13:E13)</f>
        <v>30668</v>
      </c>
    </row>
    <row r="14" spans="2:39" ht="17.25" customHeight="1">
      <c r="C14" s="562" t="s">
        <v>448</v>
      </c>
      <c r="D14" s="556">
        <v>2877</v>
      </c>
      <c r="E14" s="556">
        <v>30922</v>
      </c>
      <c r="F14" s="557">
        <f t="shared" ref="F14:F21" si="1">SUM(D14:E14)</f>
        <v>33799</v>
      </c>
    </row>
    <row r="15" spans="2:39" ht="17.25" customHeight="1">
      <c r="C15" s="561" t="s">
        <v>449</v>
      </c>
      <c r="D15" s="559">
        <v>2787</v>
      </c>
      <c r="E15" s="559">
        <v>30800</v>
      </c>
      <c r="F15" s="560">
        <f t="shared" si="1"/>
        <v>33587</v>
      </c>
    </row>
    <row r="16" spans="2:39" ht="17.25" customHeight="1">
      <c r="C16" s="562" t="s">
        <v>450</v>
      </c>
      <c r="D16" s="556">
        <v>2842</v>
      </c>
      <c r="E16" s="556">
        <v>31557</v>
      </c>
      <c r="F16" s="557">
        <f t="shared" si="1"/>
        <v>34399</v>
      </c>
    </row>
    <row r="17" spans="3:6" ht="17.25" customHeight="1">
      <c r="C17" s="561" t="s">
        <v>451</v>
      </c>
      <c r="D17" s="559">
        <v>4054</v>
      </c>
      <c r="E17" s="559">
        <v>32711</v>
      </c>
      <c r="F17" s="560">
        <f t="shared" si="1"/>
        <v>36765</v>
      </c>
    </row>
    <row r="18" spans="3:6" ht="17.25" customHeight="1">
      <c r="C18" s="562" t="s">
        <v>452</v>
      </c>
      <c r="D18" s="556">
        <v>4302</v>
      </c>
      <c r="E18" s="556">
        <v>32641</v>
      </c>
      <c r="F18" s="557">
        <f t="shared" si="1"/>
        <v>36943</v>
      </c>
    </row>
    <row r="19" spans="3:6" ht="17.25" customHeight="1">
      <c r="C19" s="561" t="s">
        <v>453</v>
      </c>
      <c r="D19" s="559">
        <v>14572</v>
      </c>
      <c r="E19" s="559">
        <v>33137</v>
      </c>
      <c r="F19" s="560">
        <f t="shared" si="1"/>
        <v>47709</v>
      </c>
    </row>
    <row r="20" spans="3:6">
      <c r="C20" s="562" t="s">
        <v>454</v>
      </c>
      <c r="D20" s="556">
        <v>35223</v>
      </c>
      <c r="E20" s="556">
        <v>34954</v>
      </c>
      <c r="F20" s="557">
        <f t="shared" si="1"/>
        <v>70177</v>
      </c>
    </row>
    <row r="21" spans="3:6">
      <c r="C21" s="563" t="s">
        <v>745</v>
      </c>
      <c r="D21" s="564">
        <v>54542</v>
      </c>
      <c r="E21" s="565">
        <v>38896</v>
      </c>
      <c r="F21" s="566">
        <f t="shared" si="1"/>
        <v>93438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1:AM21"/>
  <sheetViews>
    <sheetView workbookViewId="0"/>
  </sheetViews>
  <sheetFormatPr defaultRowHeight="15"/>
  <cols>
    <col min="1" max="1" width="2.28515625" customWidth="1"/>
    <col min="2" max="2" width="5.7109375" customWidth="1"/>
    <col min="3" max="3" width="35.28515625" customWidth="1"/>
    <col min="4" max="4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62</v>
      </c>
    </row>
    <row r="5" spans="2:39">
      <c r="D5" s="475" t="s">
        <v>755</v>
      </c>
    </row>
    <row r="6" spans="2:39">
      <c r="C6" s="568" t="s">
        <v>754</v>
      </c>
      <c r="D6" s="569">
        <v>196216</v>
      </c>
    </row>
    <row r="7" spans="2:39" s="453" customFormat="1">
      <c r="C7" s="554"/>
      <c r="D7" s="567"/>
    </row>
    <row r="8" spans="2:39" s="453" customFormat="1">
      <c r="C8" s="568" t="s">
        <v>753</v>
      </c>
      <c r="D8" s="569">
        <f>SUM(D10:D16)</f>
        <v>129269</v>
      </c>
    </row>
    <row r="9" spans="2:39" s="453" customFormat="1" ht="6.75" customHeight="1">
      <c r="C9" s="424"/>
      <c r="D9" s="567"/>
    </row>
    <row r="10" spans="2:39">
      <c r="C10" s="576" t="s">
        <v>746</v>
      </c>
      <c r="D10" s="577">
        <v>25673</v>
      </c>
    </row>
    <row r="11" spans="2:39">
      <c r="C11" s="572" t="s">
        <v>747</v>
      </c>
      <c r="D11" s="573">
        <v>2264</v>
      </c>
    </row>
    <row r="12" spans="2:39">
      <c r="C12" s="570" t="s">
        <v>748</v>
      </c>
      <c r="D12" s="571">
        <v>70177</v>
      </c>
    </row>
    <row r="13" spans="2:39">
      <c r="C13" s="574" t="s">
        <v>749</v>
      </c>
      <c r="D13" s="575">
        <v>8425</v>
      </c>
    </row>
    <row r="14" spans="2:39" ht="6.75" customHeight="1">
      <c r="C14" s="436"/>
      <c r="D14" s="567"/>
    </row>
    <row r="15" spans="2:39">
      <c r="C15" s="576" t="s">
        <v>750</v>
      </c>
      <c r="D15" s="577">
        <v>20720</v>
      </c>
    </row>
    <row r="16" spans="2:39">
      <c r="C16" s="574" t="s">
        <v>751</v>
      </c>
      <c r="D16" s="575">
        <v>2010</v>
      </c>
    </row>
    <row r="21" spans="3:3">
      <c r="C21" s="2" t="s">
        <v>752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1:AM15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64</v>
      </c>
    </row>
    <row r="5" spans="2:39" ht="15.75" thickBot="1"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75" t="s">
        <v>332</v>
      </c>
    </row>
    <row r="6" spans="2:39">
      <c r="C6" s="2"/>
      <c r="D6" s="1218" t="s">
        <v>680</v>
      </c>
      <c r="E6" s="1218" t="s">
        <v>714</v>
      </c>
      <c r="F6" s="1218" t="s">
        <v>715</v>
      </c>
      <c r="G6" s="1218" t="s">
        <v>716</v>
      </c>
      <c r="H6" s="1218" t="s">
        <v>446</v>
      </c>
      <c r="I6" s="1218" t="s">
        <v>447</v>
      </c>
      <c r="J6" s="1218" t="s">
        <v>448</v>
      </c>
      <c r="K6" s="1218" t="s">
        <v>449</v>
      </c>
      <c r="L6" s="1218" t="s">
        <v>450</v>
      </c>
      <c r="M6" s="1218" t="s">
        <v>451</v>
      </c>
      <c r="N6" s="1218" t="s">
        <v>452</v>
      </c>
      <c r="O6" s="1218" t="s">
        <v>453</v>
      </c>
      <c r="P6" s="1220" t="s">
        <v>454</v>
      </c>
    </row>
    <row r="7" spans="2:39">
      <c r="C7" s="2"/>
      <c r="D7" s="1219"/>
      <c r="E7" s="1219"/>
      <c r="F7" s="1219"/>
      <c r="G7" s="1219"/>
      <c r="H7" s="1219"/>
      <c r="I7" s="1219"/>
      <c r="J7" s="1219"/>
      <c r="K7" s="1219"/>
      <c r="L7" s="1219"/>
      <c r="M7" s="1219"/>
      <c r="N7" s="1219"/>
      <c r="O7" s="1219"/>
      <c r="P7" s="1221"/>
    </row>
    <row r="8" spans="2:39" ht="17.25" customHeight="1">
      <c r="C8" s="578" t="s">
        <v>469</v>
      </c>
      <c r="D8" s="579">
        <v>86.2</v>
      </c>
      <c r="E8" s="579">
        <v>84.8</v>
      </c>
      <c r="F8" s="579">
        <v>86.2</v>
      </c>
      <c r="G8" s="579">
        <v>86.8</v>
      </c>
      <c r="H8" s="579">
        <v>87.4</v>
      </c>
      <c r="I8" s="579">
        <v>87.3</v>
      </c>
      <c r="J8" s="579">
        <v>86.4</v>
      </c>
      <c r="K8" s="579">
        <v>87</v>
      </c>
      <c r="L8" s="579">
        <v>88</v>
      </c>
      <c r="M8" s="579">
        <v>88.2</v>
      </c>
      <c r="N8" s="579">
        <v>89.3</v>
      </c>
      <c r="O8" s="579">
        <v>89.9</v>
      </c>
      <c r="P8" s="580">
        <v>92.1</v>
      </c>
    </row>
    <row r="9" spans="2:39" ht="17.25" customHeight="1">
      <c r="C9" s="581" t="s">
        <v>633</v>
      </c>
      <c r="D9" s="582">
        <v>89.6</v>
      </c>
      <c r="E9" s="582">
        <v>88.7</v>
      </c>
      <c r="F9" s="582">
        <v>89.8</v>
      </c>
      <c r="G9" s="582">
        <v>90.5</v>
      </c>
      <c r="H9" s="582">
        <v>91.1</v>
      </c>
      <c r="I9" s="582">
        <v>91.2</v>
      </c>
      <c r="J9" s="582">
        <v>91.5</v>
      </c>
      <c r="K9" s="582">
        <v>92.4</v>
      </c>
      <c r="L9" s="582">
        <v>93.3</v>
      </c>
      <c r="M9" s="582">
        <v>94.5</v>
      </c>
      <c r="N9" s="582">
        <v>95.6</v>
      </c>
      <c r="O9" s="582">
        <v>96</v>
      </c>
      <c r="P9" s="583">
        <v>96.3</v>
      </c>
    </row>
    <row r="10" spans="2:39" ht="17.25" customHeight="1">
      <c r="C10" s="581" t="s">
        <v>634</v>
      </c>
      <c r="D10" s="582">
        <v>86.7</v>
      </c>
      <c r="E10" s="582">
        <v>85</v>
      </c>
      <c r="F10" s="582">
        <v>86.2</v>
      </c>
      <c r="G10" s="582">
        <v>86.5</v>
      </c>
      <c r="H10" s="582">
        <v>86.9</v>
      </c>
      <c r="I10" s="582">
        <v>87.3</v>
      </c>
      <c r="J10" s="582">
        <v>84.4</v>
      </c>
      <c r="K10" s="582">
        <v>85.2</v>
      </c>
      <c r="L10" s="582">
        <v>86.1</v>
      </c>
      <c r="M10" s="582">
        <v>87</v>
      </c>
      <c r="N10" s="582">
        <v>89.3</v>
      </c>
      <c r="O10" s="582">
        <v>89.5</v>
      </c>
      <c r="P10" s="583">
        <v>92</v>
      </c>
    </row>
    <row r="11" spans="2:39" ht="17.25" customHeight="1">
      <c r="C11" s="584" t="s">
        <v>635</v>
      </c>
      <c r="D11" s="585">
        <v>81.599999999999994</v>
      </c>
      <c r="E11" s="585">
        <v>79.599999999999994</v>
      </c>
      <c r="F11" s="585">
        <v>81.599999999999994</v>
      </c>
      <c r="G11" s="585">
        <v>82.3</v>
      </c>
      <c r="H11" s="585">
        <v>82.8</v>
      </c>
      <c r="I11" s="585">
        <v>81.8</v>
      </c>
      <c r="J11" s="585">
        <v>80.8</v>
      </c>
      <c r="K11" s="585">
        <v>80.900000000000006</v>
      </c>
      <c r="L11" s="585">
        <v>82.2</v>
      </c>
      <c r="M11" s="585">
        <v>80.3</v>
      </c>
      <c r="N11" s="585">
        <v>80.8</v>
      </c>
      <c r="O11" s="585">
        <v>81.599999999999994</v>
      </c>
      <c r="P11" s="586">
        <v>86</v>
      </c>
    </row>
    <row r="15" spans="2:39">
      <c r="C15" s="2" t="s">
        <v>756</v>
      </c>
    </row>
  </sheetData>
  <mergeCells count="14">
    <mergeCell ref="N6:N7"/>
    <mergeCell ref="O6:O7"/>
    <mergeCell ref="P6:P7"/>
    <mergeCell ref="C1:AM1"/>
    <mergeCell ref="I6:I7"/>
    <mergeCell ref="J6:J7"/>
    <mergeCell ref="K6:K7"/>
    <mergeCell ref="L6:L7"/>
    <mergeCell ref="M6:M7"/>
    <mergeCell ref="D6:D7"/>
    <mergeCell ref="E6:E7"/>
    <mergeCell ref="F6:F7"/>
    <mergeCell ref="G6:G7"/>
    <mergeCell ref="H6:H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B1:AM15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66</v>
      </c>
    </row>
    <row r="5" spans="2:39"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75" t="s">
        <v>332</v>
      </c>
    </row>
    <row r="6" spans="2:39">
      <c r="C6" s="66"/>
      <c r="D6" s="1224" t="s">
        <v>680</v>
      </c>
      <c r="E6" s="1224" t="s">
        <v>714</v>
      </c>
      <c r="F6" s="1224" t="s">
        <v>715</v>
      </c>
      <c r="G6" s="1224" t="s">
        <v>716</v>
      </c>
      <c r="H6" s="1224" t="s">
        <v>446</v>
      </c>
      <c r="I6" s="1224" t="s">
        <v>447</v>
      </c>
      <c r="J6" s="1224" t="s">
        <v>448</v>
      </c>
      <c r="K6" s="1224" t="s">
        <v>449</v>
      </c>
      <c r="L6" s="1222" t="s">
        <v>450</v>
      </c>
      <c r="M6" s="1222" t="s">
        <v>451</v>
      </c>
      <c r="N6" s="1222" t="s">
        <v>452</v>
      </c>
      <c r="O6" s="1222" t="s">
        <v>453</v>
      </c>
      <c r="P6" s="1222" t="s">
        <v>454</v>
      </c>
    </row>
    <row r="7" spans="2:39">
      <c r="C7" s="66"/>
      <c r="D7" s="1225"/>
      <c r="E7" s="1225"/>
      <c r="F7" s="1225"/>
      <c r="G7" s="1225"/>
      <c r="H7" s="1225"/>
      <c r="I7" s="1225"/>
      <c r="J7" s="1225"/>
      <c r="K7" s="1225"/>
      <c r="L7" s="1223"/>
      <c r="M7" s="1223"/>
      <c r="N7" s="1223"/>
      <c r="O7" s="1223"/>
      <c r="P7" s="1223"/>
    </row>
    <row r="8" spans="2:39" ht="17.25" customHeight="1">
      <c r="C8" s="587" t="s">
        <v>469</v>
      </c>
      <c r="D8" s="588">
        <v>66.870714674980675</v>
      </c>
      <c r="E8" s="588">
        <v>64.269779538079788</v>
      </c>
      <c r="F8" s="588">
        <v>64.398623220588576</v>
      </c>
      <c r="G8" s="588">
        <v>63.973587162663769</v>
      </c>
      <c r="H8" s="588">
        <v>63.247778844165751</v>
      </c>
      <c r="I8" s="588">
        <v>60.640690495902795</v>
      </c>
      <c r="J8" s="588">
        <v>62.648357836800187</v>
      </c>
      <c r="K8" s="588">
        <v>66.330723485640846</v>
      </c>
      <c r="L8" s="588">
        <v>66.222208814745542</v>
      </c>
      <c r="M8" s="588">
        <v>67.890022440551405</v>
      </c>
      <c r="N8" s="588">
        <v>68.925330718606659</v>
      </c>
      <c r="O8" s="588">
        <v>75.158995658235753</v>
      </c>
      <c r="P8" s="589">
        <v>79.000310966293966</v>
      </c>
    </row>
    <row r="9" spans="2:39" ht="17.25" customHeight="1">
      <c r="C9" s="590" t="s">
        <v>437</v>
      </c>
      <c r="D9" s="591">
        <v>60.347996486249066</v>
      </c>
      <c r="E9" s="591">
        <v>61.512965490348989</v>
      </c>
      <c r="F9" s="591">
        <v>64.182405734294051</v>
      </c>
      <c r="G9" s="591">
        <v>63.836226631797054</v>
      </c>
      <c r="H9" s="591">
        <v>63.083983552951082</v>
      </c>
      <c r="I9" s="591">
        <v>60.566842538029334</v>
      </c>
      <c r="J9" s="591">
        <v>61.133574007220219</v>
      </c>
      <c r="K9" s="591">
        <v>65.199275023823304</v>
      </c>
      <c r="L9" s="591">
        <v>66.5632937281799</v>
      </c>
      <c r="M9" s="591">
        <v>70.514375472223321</v>
      </c>
      <c r="N9" s="591">
        <v>74.061086907755708</v>
      </c>
      <c r="O9" s="591">
        <v>79.655231476950178</v>
      </c>
      <c r="P9" s="591">
        <v>81.531554643406878</v>
      </c>
    </row>
    <row r="10" spans="2:39" ht="17.25" customHeight="1">
      <c r="C10" s="590" t="s">
        <v>438</v>
      </c>
      <c r="D10" s="591">
        <v>80.844562494601362</v>
      </c>
      <c r="E10" s="591">
        <v>80.465991287814006</v>
      </c>
      <c r="F10" s="591">
        <v>79.557401388387305</v>
      </c>
      <c r="G10" s="591">
        <v>79.65640058663314</v>
      </c>
      <c r="H10" s="591">
        <v>79.189976369731269</v>
      </c>
      <c r="I10" s="591">
        <v>75.602111884969673</v>
      </c>
      <c r="J10" s="591">
        <v>78.054107280370644</v>
      </c>
      <c r="K10" s="591">
        <v>80.846973308226126</v>
      </c>
      <c r="L10" s="591">
        <v>82.170430672268907</v>
      </c>
      <c r="M10" s="591">
        <v>84.127848905838547</v>
      </c>
      <c r="N10" s="591">
        <v>81.382795134814245</v>
      </c>
      <c r="O10" s="591">
        <v>83.972134954241227</v>
      </c>
      <c r="P10" s="591">
        <v>88.079248286165054</v>
      </c>
    </row>
    <row r="11" spans="2:39" ht="17.25" customHeight="1">
      <c r="C11" s="592" t="s">
        <v>578</v>
      </c>
      <c r="D11" s="593">
        <v>62.485667813241605</v>
      </c>
      <c r="E11" s="593">
        <v>51.114506463812404</v>
      </c>
      <c r="F11" s="593">
        <v>50.823785843155569</v>
      </c>
      <c r="G11" s="593">
        <v>50.325657773349576</v>
      </c>
      <c r="H11" s="593">
        <v>50.18719751620857</v>
      </c>
      <c r="I11" s="593">
        <v>47.542119538318381</v>
      </c>
      <c r="J11" s="593">
        <v>51.248808595442341</v>
      </c>
      <c r="K11" s="593">
        <v>54.748893478902325</v>
      </c>
      <c r="L11" s="593">
        <v>51.319850794293956</v>
      </c>
      <c r="M11" s="593">
        <v>50.560217684586007</v>
      </c>
      <c r="N11" s="593">
        <v>52.920197232993438</v>
      </c>
      <c r="O11" s="593">
        <v>63.088072279104132</v>
      </c>
      <c r="P11" s="593">
        <v>67.277957569219708</v>
      </c>
    </row>
    <row r="15" spans="2:39">
      <c r="C15" s="2" t="s">
        <v>756</v>
      </c>
    </row>
  </sheetData>
  <mergeCells count="14">
    <mergeCell ref="N6:N7"/>
    <mergeCell ref="O6:O7"/>
    <mergeCell ref="P6:P7"/>
    <mergeCell ref="C1:AM1"/>
    <mergeCell ref="I6:I7"/>
    <mergeCell ref="J6:J7"/>
    <mergeCell ref="K6:K7"/>
    <mergeCell ref="L6:L7"/>
    <mergeCell ref="M6:M7"/>
    <mergeCell ref="D6:D7"/>
    <mergeCell ref="E6:E7"/>
    <mergeCell ref="F6:F7"/>
    <mergeCell ref="G6:G7"/>
    <mergeCell ref="H6:H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B1:AM14"/>
  <sheetViews>
    <sheetView workbookViewId="0">
      <selection activeCell="C1" sqref="C1:AM1"/>
    </sheetView>
  </sheetViews>
  <sheetFormatPr defaultRowHeight="15"/>
  <cols>
    <col min="1" max="1" width="2.28515625" customWidth="1"/>
    <col min="2" max="2" width="5.7109375" customWidth="1"/>
    <col min="3" max="3" width="16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68</v>
      </c>
    </row>
    <row r="5" spans="2:39"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75" t="s">
        <v>332</v>
      </c>
    </row>
    <row r="6" spans="2:39">
      <c r="C6" s="453"/>
      <c r="D6" s="1224" t="s">
        <v>680</v>
      </c>
      <c r="E6" s="1224" t="s">
        <v>714</v>
      </c>
      <c r="F6" s="1224" t="s">
        <v>715</v>
      </c>
      <c r="G6" s="1224" t="s">
        <v>716</v>
      </c>
      <c r="H6" s="1224" t="s">
        <v>446</v>
      </c>
      <c r="I6" s="1224" t="s">
        <v>447</v>
      </c>
      <c r="J6" s="1224" t="s">
        <v>448</v>
      </c>
      <c r="K6" s="1224" t="s">
        <v>449</v>
      </c>
      <c r="L6" s="1222" t="s">
        <v>450</v>
      </c>
      <c r="M6" s="1222" t="s">
        <v>451</v>
      </c>
      <c r="N6" s="1222" t="s">
        <v>452</v>
      </c>
      <c r="O6" s="1222" t="s">
        <v>453</v>
      </c>
      <c r="P6" s="1222" t="s">
        <v>454</v>
      </c>
    </row>
    <row r="7" spans="2:39">
      <c r="C7" s="453"/>
      <c r="D7" s="1225"/>
      <c r="E7" s="1225"/>
      <c r="F7" s="1225"/>
      <c r="G7" s="1225"/>
      <c r="H7" s="1225"/>
      <c r="I7" s="1225"/>
      <c r="J7" s="1225"/>
      <c r="K7" s="1225"/>
      <c r="L7" s="1223"/>
      <c r="M7" s="1223"/>
      <c r="N7" s="1223"/>
      <c r="O7" s="1223"/>
      <c r="P7" s="1223"/>
    </row>
    <row r="8" spans="2:39" ht="17.25" customHeight="1">
      <c r="C8" s="587" t="s">
        <v>469</v>
      </c>
      <c r="D8" s="588">
        <v>66.870714674980675</v>
      </c>
      <c r="E8" s="588">
        <v>64.269779538079788</v>
      </c>
      <c r="F8" s="588">
        <v>64.398623220588576</v>
      </c>
      <c r="G8" s="588">
        <v>63.973587162663769</v>
      </c>
      <c r="H8" s="588">
        <v>63.247778844165751</v>
      </c>
      <c r="I8" s="588">
        <v>60.640690495902795</v>
      </c>
      <c r="J8" s="588">
        <v>62.648357836800187</v>
      </c>
      <c r="K8" s="588">
        <v>66.330723485640846</v>
      </c>
      <c r="L8" s="588">
        <v>66.222208814745542</v>
      </c>
      <c r="M8" s="588">
        <v>67.890022440551405</v>
      </c>
      <c r="N8" s="588">
        <v>68.925330718606659</v>
      </c>
      <c r="O8" s="588">
        <v>75.158995658235753</v>
      </c>
      <c r="P8" s="589">
        <v>79.000310966293966</v>
      </c>
    </row>
    <row r="9" spans="2:39" ht="17.25" customHeight="1">
      <c r="C9" s="590" t="s">
        <v>757</v>
      </c>
      <c r="D9" s="591">
        <v>69.627356043576</v>
      </c>
      <c r="E9" s="591">
        <v>67.135098465336966</v>
      </c>
      <c r="F9" s="591">
        <v>66.943220119263685</v>
      </c>
      <c r="G9" s="591">
        <v>66.146096690147644</v>
      </c>
      <c r="H9" s="591">
        <v>65.100089410864399</v>
      </c>
      <c r="I9" s="591">
        <v>62.622286541244577</v>
      </c>
      <c r="J9" s="591">
        <v>64.829054298299255</v>
      </c>
      <c r="K9" s="591">
        <v>68.452868325137672</v>
      </c>
      <c r="L9" s="591">
        <v>68.63220653474113</v>
      </c>
      <c r="M9" s="591">
        <v>71.31438073427951</v>
      </c>
      <c r="N9" s="591">
        <v>70.175103470232415</v>
      </c>
      <c r="O9" s="591">
        <v>76.080868061400963</v>
      </c>
      <c r="P9" s="591">
        <v>79.667305418518367</v>
      </c>
    </row>
    <row r="10" spans="2:39" ht="17.25" customHeight="1">
      <c r="C10" s="592" t="s">
        <v>746</v>
      </c>
      <c r="D10" s="593">
        <v>59.305746690077356</v>
      </c>
      <c r="E10" s="593">
        <v>55.383768576845448</v>
      </c>
      <c r="F10" s="593">
        <v>56.053368679037661</v>
      </c>
      <c r="G10" s="593">
        <v>56.330626544634853</v>
      </c>
      <c r="H10" s="593">
        <v>56.263066458584845</v>
      </c>
      <c r="I10" s="593">
        <v>53.261271249076124</v>
      </c>
      <c r="J10" s="593">
        <v>54.261636688177951</v>
      </c>
      <c r="K10" s="593">
        <v>57.927111704000147</v>
      </c>
      <c r="L10" s="593">
        <v>56.539262062440876</v>
      </c>
      <c r="M10" s="593">
        <v>56.048020983959375</v>
      </c>
      <c r="N10" s="593">
        <v>64.415639120778124</v>
      </c>
      <c r="O10" s="593">
        <v>70.938813638486693</v>
      </c>
      <c r="P10" s="593">
        <v>73.902543528220306</v>
      </c>
    </row>
    <row r="14" spans="2:39">
      <c r="C14" s="2" t="s">
        <v>756</v>
      </c>
    </row>
  </sheetData>
  <mergeCells count="14">
    <mergeCell ref="N6:N7"/>
    <mergeCell ref="O6:O7"/>
    <mergeCell ref="P6:P7"/>
    <mergeCell ref="C1:AM1"/>
    <mergeCell ref="I6:I7"/>
    <mergeCell ref="J6:J7"/>
    <mergeCell ref="K6:K7"/>
    <mergeCell ref="L6:L7"/>
    <mergeCell ref="M6:M7"/>
    <mergeCell ref="D6:D7"/>
    <mergeCell ref="E6:E7"/>
    <mergeCell ref="F6:F7"/>
    <mergeCell ref="G6:G7"/>
    <mergeCell ref="H6:H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B1:AM16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70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92" t="s">
        <v>332</v>
      </c>
    </row>
    <row r="6" spans="2:39">
      <c r="C6" s="1227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1228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596" t="s">
        <v>443</v>
      </c>
      <c r="D8" s="597">
        <v>90.715854194115067</v>
      </c>
      <c r="E8" s="597">
        <v>90.905886499823765</v>
      </c>
      <c r="F8" s="597">
        <v>91.874344043635276</v>
      </c>
      <c r="G8" s="597">
        <v>92.872377922582629</v>
      </c>
      <c r="H8" s="597">
        <v>94.117193838009811</v>
      </c>
      <c r="I8" s="597">
        <v>95.209872314341993</v>
      </c>
      <c r="J8" s="597">
        <v>95.650732271239448</v>
      </c>
      <c r="K8" s="598">
        <v>96.001217765850683</v>
      </c>
    </row>
    <row r="9" spans="2:39" ht="17.25" customHeight="1">
      <c r="C9" s="599" t="s">
        <v>572</v>
      </c>
      <c r="D9" s="550">
        <v>100</v>
      </c>
      <c r="E9" s="550">
        <v>100</v>
      </c>
      <c r="F9" s="550">
        <v>100</v>
      </c>
      <c r="G9" s="550">
        <v>100</v>
      </c>
      <c r="H9" s="550">
        <v>100</v>
      </c>
      <c r="I9" s="550">
        <v>100</v>
      </c>
      <c r="J9" s="550">
        <v>100</v>
      </c>
      <c r="K9" s="600">
        <v>99.992197633932491</v>
      </c>
    </row>
    <row r="10" spans="2:39" ht="17.25" customHeight="1">
      <c r="C10" s="601" t="s">
        <v>573</v>
      </c>
      <c r="D10" s="548">
        <v>84.266892919461483</v>
      </c>
      <c r="E10" s="548">
        <v>84.04637642308434</v>
      </c>
      <c r="F10" s="548">
        <v>85.351776893523606</v>
      </c>
      <c r="G10" s="548">
        <v>86.942978135865772</v>
      </c>
      <c r="H10" s="548">
        <v>88.317541312430237</v>
      </c>
      <c r="I10" s="548">
        <v>90.464147196360827</v>
      </c>
      <c r="J10" s="548">
        <v>91.724690634586878</v>
      </c>
      <c r="K10" s="602">
        <v>92.553797011324349</v>
      </c>
    </row>
    <row r="11" spans="2:39" ht="17.25" customHeight="1">
      <c r="C11" s="599" t="s">
        <v>574</v>
      </c>
      <c r="D11" s="550">
        <v>90.802383520830119</v>
      </c>
      <c r="E11" s="550">
        <v>91.322116429720452</v>
      </c>
      <c r="F11" s="550">
        <v>92.012919872997273</v>
      </c>
      <c r="G11" s="550">
        <v>93.886300439881325</v>
      </c>
      <c r="H11" s="550">
        <v>95.314622416388261</v>
      </c>
      <c r="I11" s="550">
        <v>96.270525769346364</v>
      </c>
      <c r="J11" s="550">
        <v>96.306648575305289</v>
      </c>
      <c r="K11" s="600">
        <v>96.689862364151338</v>
      </c>
    </row>
    <row r="12" spans="2:39" ht="17.25" customHeight="1">
      <c r="C12" s="603" t="s">
        <v>575</v>
      </c>
      <c r="D12" s="604">
        <v>89.314149790214415</v>
      </c>
      <c r="E12" s="604">
        <v>89.653804269831767</v>
      </c>
      <c r="F12" s="604">
        <v>91.106946999260771</v>
      </c>
      <c r="G12" s="604">
        <v>91.569710467706017</v>
      </c>
      <c r="H12" s="604">
        <v>93.649848914934523</v>
      </c>
      <c r="I12" s="604">
        <v>94.646487463293425</v>
      </c>
      <c r="J12" s="604">
        <v>94.883409273653172</v>
      </c>
      <c r="K12" s="605">
        <v>95.29561065653786</v>
      </c>
    </row>
    <row r="16" spans="2:39">
      <c r="C16" s="2" t="s">
        <v>758</v>
      </c>
    </row>
  </sheetData>
  <mergeCells count="10">
    <mergeCell ref="H6:H7"/>
    <mergeCell ref="I6:I7"/>
    <mergeCell ref="J6:J7"/>
    <mergeCell ref="K6:K7"/>
    <mergeCell ref="C1:AM1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B1:AM16"/>
  <sheetViews>
    <sheetView workbookViewId="0"/>
  </sheetViews>
  <sheetFormatPr defaultRowHeight="15"/>
  <cols>
    <col min="1" max="1" width="2.28515625" customWidth="1"/>
    <col min="2" max="2" width="5.57031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72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475" t="s">
        <v>332</v>
      </c>
    </row>
    <row r="6" spans="2:39">
      <c r="C6" s="1227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1228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596" t="s">
        <v>443</v>
      </c>
      <c r="D8" s="597">
        <v>96.00199039252837</v>
      </c>
      <c r="E8" s="597">
        <v>96.757744852799689</v>
      </c>
      <c r="F8" s="597">
        <v>96.685948421306335</v>
      </c>
      <c r="G8" s="597">
        <v>96.912036754690902</v>
      </c>
      <c r="H8" s="597">
        <v>98.386902128001935</v>
      </c>
      <c r="I8" s="597">
        <v>99.04971044346847</v>
      </c>
      <c r="J8" s="597">
        <v>98.796969867854656</v>
      </c>
      <c r="K8" s="598">
        <v>98.701052431971178</v>
      </c>
    </row>
    <row r="9" spans="2:39" ht="17.25" customHeight="1">
      <c r="C9" s="12" t="s">
        <v>572</v>
      </c>
      <c r="D9" s="550">
        <v>100</v>
      </c>
      <c r="E9" s="550">
        <v>100</v>
      </c>
      <c r="F9" s="550">
        <v>100</v>
      </c>
      <c r="G9" s="550">
        <v>100</v>
      </c>
      <c r="H9" s="550">
        <v>100</v>
      </c>
      <c r="I9" s="550">
        <v>100</v>
      </c>
      <c r="J9" s="550">
        <v>100</v>
      </c>
      <c r="K9" s="550">
        <v>100</v>
      </c>
    </row>
    <row r="10" spans="2:39" ht="17.25" customHeight="1">
      <c r="C10" s="606" t="s">
        <v>573</v>
      </c>
      <c r="D10" s="607">
        <v>93.846380875083</v>
      </c>
      <c r="E10" s="607">
        <v>94.415054413542933</v>
      </c>
      <c r="F10" s="607">
        <v>94.028897581224555</v>
      </c>
      <c r="G10" s="607">
        <v>94.504361617763678</v>
      </c>
      <c r="H10" s="607">
        <v>96.865963266901133</v>
      </c>
      <c r="I10" s="607">
        <v>98.159040562218308</v>
      </c>
      <c r="J10" s="607">
        <v>97.846448853160268</v>
      </c>
      <c r="K10" s="608">
        <v>97.829106059498571</v>
      </c>
    </row>
    <row r="11" spans="2:39" ht="17.25" customHeight="1">
      <c r="C11" s="12" t="s">
        <v>574</v>
      </c>
      <c r="D11" s="550">
        <v>95.662313432835816</v>
      </c>
      <c r="E11" s="550">
        <v>96.935041171088741</v>
      </c>
      <c r="F11" s="550">
        <v>96.584643239239568</v>
      </c>
      <c r="G11" s="550">
        <v>96.93672581185136</v>
      </c>
      <c r="H11" s="550">
        <v>98.480617608409986</v>
      </c>
      <c r="I11" s="550">
        <v>99.174658072630081</v>
      </c>
      <c r="J11" s="550">
        <v>99.037117564839264</v>
      </c>
      <c r="K11" s="550">
        <v>99.01028080405095</v>
      </c>
    </row>
    <row r="12" spans="2:39" ht="17.25" customHeight="1">
      <c r="C12" s="606" t="s">
        <v>575</v>
      </c>
      <c r="D12" s="607">
        <v>94.583883751651257</v>
      </c>
      <c r="E12" s="607">
        <v>95.708086785009854</v>
      </c>
      <c r="F12" s="607">
        <v>96.106803101766729</v>
      </c>
      <c r="G12" s="607">
        <v>96.17177097203728</v>
      </c>
      <c r="H12" s="607">
        <v>98.191712013394721</v>
      </c>
      <c r="I12" s="607">
        <v>98.845470692717583</v>
      </c>
      <c r="J12" s="607">
        <v>98.25177554046671</v>
      </c>
      <c r="K12" s="608">
        <v>97.984749455337692</v>
      </c>
    </row>
    <row r="16" spans="2:39">
      <c r="C16" s="2" t="s">
        <v>758</v>
      </c>
    </row>
  </sheetData>
  <mergeCells count="10">
    <mergeCell ref="C1:AM1"/>
    <mergeCell ref="H6:H7"/>
    <mergeCell ref="I6:I7"/>
    <mergeCell ref="J6:J7"/>
    <mergeCell ref="K6:K7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B1:AM14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74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475" t="s">
        <v>332</v>
      </c>
    </row>
    <row r="6" spans="2:39">
      <c r="C6" s="1227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1228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609" t="s">
        <v>444</v>
      </c>
      <c r="D8" s="597">
        <v>86.567831048965331</v>
      </c>
      <c r="E8" s="597">
        <v>83.510468903259778</v>
      </c>
      <c r="F8" s="597">
        <v>84.479695485025346</v>
      </c>
      <c r="G8" s="597">
        <v>85.206190155262519</v>
      </c>
      <c r="H8" s="597">
        <v>86.139788157786526</v>
      </c>
      <c r="I8" s="597">
        <v>88.384712103512541</v>
      </c>
      <c r="J8" s="597">
        <v>88.588185669155664</v>
      </c>
      <c r="K8" s="598">
        <v>91.369829211978072</v>
      </c>
    </row>
    <row r="9" spans="2:39" ht="17.25" customHeight="1">
      <c r="C9" s="610" t="s">
        <v>576</v>
      </c>
      <c r="D9" s="591">
        <v>86.620722233000706</v>
      </c>
      <c r="E9" s="591">
        <v>84.009714429277281</v>
      </c>
      <c r="F9" s="591">
        <v>84.343434343434339</v>
      </c>
      <c r="G9" s="591">
        <v>85.119805630026818</v>
      </c>
      <c r="H9" s="591">
        <v>85.791125446778835</v>
      </c>
      <c r="I9" s="591">
        <v>87.965115247440423</v>
      </c>
      <c r="J9" s="591">
        <v>88.768035908355941</v>
      </c>
      <c r="K9" s="591">
        <v>91.386725053865675</v>
      </c>
    </row>
    <row r="10" spans="2:39" ht="17.25" customHeight="1">
      <c r="C10" s="611" t="s">
        <v>577</v>
      </c>
      <c r="D10" s="593">
        <v>86.513988355917363</v>
      </c>
      <c r="E10" s="593">
        <v>82.99697666606373</v>
      </c>
      <c r="F10" s="593">
        <v>84.618530351437698</v>
      </c>
      <c r="G10" s="593">
        <v>85.294647529662072</v>
      </c>
      <c r="H10" s="593">
        <v>86.483651589273578</v>
      </c>
      <c r="I10" s="593">
        <v>88.808618958841251</v>
      </c>
      <c r="J10" s="593">
        <v>88.40258591605803</v>
      </c>
      <c r="K10" s="593">
        <v>91.352583451309314</v>
      </c>
    </row>
    <row r="14" spans="2:39">
      <c r="C14" s="2" t="s">
        <v>758</v>
      </c>
    </row>
  </sheetData>
  <mergeCells count="10">
    <mergeCell ref="H6:H7"/>
    <mergeCell ref="I6:I7"/>
    <mergeCell ref="J6:J7"/>
    <mergeCell ref="K6:K7"/>
    <mergeCell ref="C1:AM1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B1:AM14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76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475" t="s">
        <v>332</v>
      </c>
    </row>
    <row r="6" spans="2:39">
      <c r="C6" s="612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613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614" t="s">
        <v>444</v>
      </c>
      <c r="D8" s="615">
        <v>93.833703358877031</v>
      </c>
      <c r="E8" s="615">
        <v>91.729815376136685</v>
      </c>
      <c r="F8" s="615">
        <v>91.083240552753935</v>
      </c>
      <c r="G8" s="615">
        <v>92.672786536286836</v>
      </c>
      <c r="H8" s="615">
        <v>94.108823128324019</v>
      </c>
      <c r="I8" s="615">
        <v>96.016353561292064</v>
      </c>
      <c r="J8" s="615">
        <v>96.286410196523306</v>
      </c>
      <c r="K8" s="616">
        <v>96.677763435015962</v>
      </c>
    </row>
    <row r="9" spans="2:39" ht="17.25" customHeight="1">
      <c r="C9" s="610" t="s">
        <v>576</v>
      </c>
      <c r="D9" s="591">
        <v>94.195872004432744</v>
      </c>
      <c r="E9" s="591">
        <v>92.490930248476971</v>
      </c>
      <c r="F9" s="591">
        <v>91.119133574007222</v>
      </c>
      <c r="G9" s="591">
        <v>93.141518902643028</v>
      </c>
      <c r="H9" s="591">
        <v>94.401342000419376</v>
      </c>
      <c r="I9" s="591">
        <v>96.256471525288731</v>
      </c>
      <c r="J9" s="591">
        <v>96.951910891749478</v>
      </c>
      <c r="K9" s="591">
        <v>96.671863349827163</v>
      </c>
    </row>
    <row r="10" spans="2:39" ht="17.25" customHeight="1">
      <c r="C10" s="611" t="s">
        <v>577</v>
      </c>
      <c r="D10" s="593">
        <v>93.446026097271655</v>
      </c>
      <c r="E10" s="593">
        <v>90.958885114053942</v>
      </c>
      <c r="F10" s="593">
        <v>91.047507024766389</v>
      </c>
      <c r="G10" s="593">
        <v>92.209509953045426</v>
      </c>
      <c r="H10" s="593">
        <v>93.830282861896848</v>
      </c>
      <c r="I10" s="593">
        <v>95.767377838953891</v>
      </c>
      <c r="J10" s="593">
        <v>95.620243023100542</v>
      </c>
      <c r="K10" s="593">
        <v>96.683690840994203</v>
      </c>
    </row>
    <row r="14" spans="2:39">
      <c r="C14" s="2" t="s">
        <v>758</v>
      </c>
    </row>
  </sheetData>
  <mergeCells count="9">
    <mergeCell ref="C1:AM1"/>
    <mergeCell ref="I6:I7"/>
    <mergeCell ref="J6:J7"/>
    <mergeCell ref="K6:K7"/>
    <mergeCell ref="D6:D7"/>
    <mergeCell ref="E6:E7"/>
    <mergeCell ref="F6:F7"/>
    <mergeCell ref="G6:G7"/>
    <mergeCell ref="H6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AM17"/>
  <sheetViews>
    <sheetView workbookViewId="0"/>
  </sheetViews>
  <sheetFormatPr defaultRowHeight="15"/>
  <cols>
    <col min="1" max="1" width="2.28515625" customWidth="1"/>
    <col min="2" max="2" width="5.7109375" customWidth="1"/>
    <col min="3" max="3" width="22.140625" customWidth="1"/>
    <col min="4" max="11" width="10.710937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5</v>
      </c>
    </row>
    <row r="5" spans="2:39">
      <c r="C5" s="355" t="s">
        <v>607</v>
      </c>
      <c r="D5" s="356">
        <v>2001</v>
      </c>
      <c r="E5" s="356">
        <v>2002</v>
      </c>
      <c r="F5" s="356">
        <v>2003</v>
      </c>
      <c r="G5" s="356">
        <v>2004</v>
      </c>
      <c r="H5" s="356">
        <v>2005</v>
      </c>
      <c r="I5" s="356">
        <v>2006</v>
      </c>
      <c r="J5" s="356">
        <v>2007</v>
      </c>
      <c r="K5" s="357" t="s">
        <v>608</v>
      </c>
    </row>
    <row r="6" spans="2:39">
      <c r="C6" s="358" t="s">
        <v>609</v>
      </c>
      <c r="D6" s="359">
        <v>67127</v>
      </c>
      <c r="E6" s="359">
        <v>72229</v>
      </c>
      <c r="F6" s="359">
        <v>77124</v>
      </c>
      <c r="G6" s="359">
        <v>83687</v>
      </c>
      <c r="H6" s="359">
        <v>88781</v>
      </c>
      <c r="I6" s="359">
        <v>124901</v>
      </c>
      <c r="J6" s="359">
        <v>168124</v>
      </c>
      <c r="K6" s="359">
        <v>166025</v>
      </c>
    </row>
    <row r="7" spans="2:39">
      <c r="C7" s="360" t="s">
        <v>610</v>
      </c>
      <c r="D7" s="361">
        <v>107309</v>
      </c>
      <c r="E7" s="361">
        <v>114399</v>
      </c>
      <c r="F7" s="361">
        <v>117954</v>
      </c>
      <c r="G7" s="361">
        <v>121584</v>
      </c>
      <c r="H7" s="361">
        <v>124541</v>
      </c>
      <c r="I7" s="361">
        <v>129806</v>
      </c>
      <c r="J7" s="361">
        <v>138337</v>
      </c>
      <c r="K7" s="361">
        <v>125671</v>
      </c>
    </row>
    <row r="8" spans="2:39">
      <c r="C8" s="358" t="s">
        <v>611</v>
      </c>
      <c r="D8" s="359">
        <v>39018</v>
      </c>
      <c r="E8" s="359">
        <v>40535</v>
      </c>
      <c r="F8" s="359">
        <v>42509</v>
      </c>
      <c r="G8" s="359">
        <v>44879</v>
      </c>
      <c r="H8" s="359">
        <v>47624</v>
      </c>
      <c r="I8" s="359">
        <v>58708</v>
      </c>
      <c r="J8" s="359">
        <v>72387</v>
      </c>
      <c r="K8" s="359">
        <v>115549</v>
      </c>
    </row>
    <row r="9" spans="2:39">
      <c r="C9" s="360" t="s">
        <v>612</v>
      </c>
      <c r="D9" s="361">
        <v>9724</v>
      </c>
      <c r="E9" s="361">
        <v>10938</v>
      </c>
      <c r="F9" s="361">
        <v>11565</v>
      </c>
      <c r="G9" s="361">
        <v>12331</v>
      </c>
      <c r="H9" s="361">
        <v>12837</v>
      </c>
      <c r="I9" s="361">
        <v>17870</v>
      </c>
      <c r="J9" s="361">
        <v>21902</v>
      </c>
      <c r="K9" s="361">
        <v>28425</v>
      </c>
    </row>
    <row r="10" spans="2:39">
      <c r="C10" s="358" t="s">
        <v>613</v>
      </c>
      <c r="D10" s="362">
        <v>537</v>
      </c>
      <c r="E10" s="362">
        <v>545</v>
      </c>
      <c r="F10" s="362">
        <v>557</v>
      </c>
      <c r="G10" s="362">
        <v>554</v>
      </c>
      <c r="H10" s="362">
        <v>558</v>
      </c>
      <c r="I10" s="362">
        <v>563</v>
      </c>
      <c r="J10" s="362">
        <v>572</v>
      </c>
      <c r="K10" s="362">
        <v>264</v>
      </c>
    </row>
    <row r="11" spans="2:39">
      <c r="C11" s="363" t="s">
        <v>614</v>
      </c>
      <c r="D11" s="361">
        <v>2577</v>
      </c>
      <c r="E11" s="361">
        <v>2872</v>
      </c>
      <c r="F11" s="361">
        <v>3026</v>
      </c>
      <c r="G11" s="361">
        <v>3172</v>
      </c>
      <c r="H11" s="361">
        <v>3293</v>
      </c>
      <c r="I11" s="361">
        <v>4496</v>
      </c>
      <c r="J11" s="361">
        <v>5687</v>
      </c>
      <c r="K11" s="361">
        <v>6565</v>
      </c>
    </row>
    <row r="12" spans="2:39">
      <c r="C12" s="364" t="s">
        <v>615</v>
      </c>
      <c r="D12" s="365">
        <v>282</v>
      </c>
      <c r="E12" s="365">
        <v>283</v>
      </c>
      <c r="F12" s="365">
        <v>286</v>
      </c>
      <c r="G12" s="365">
        <v>287</v>
      </c>
      <c r="H12" s="365">
        <v>290</v>
      </c>
      <c r="I12" s="365">
        <v>289</v>
      </c>
      <c r="J12" s="365">
        <v>290</v>
      </c>
      <c r="K12" s="365">
        <v>86</v>
      </c>
    </row>
    <row r="15" spans="2:39">
      <c r="C15" s="1095" t="s">
        <v>617</v>
      </c>
      <c r="D15" s="1095"/>
      <c r="E15" s="1095"/>
      <c r="F15" s="1095"/>
      <c r="G15" s="1095"/>
      <c r="H15" s="1095"/>
      <c r="I15" s="1095"/>
      <c r="J15" s="1095"/>
      <c r="K15" s="1095"/>
    </row>
    <row r="17" spans="3:11">
      <c r="C17" s="1095" t="s">
        <v>616</v>
      </c>
      <c r="D17" s="1095"/>
      <c r="E17" s="1095"/>
      <c r="F17" s="1095"/>
      <c r="G17" s="1095"/>
      <c r="H17" s="1095"/>
      <c r="I17" s="1095"/>
      <c r="J17" s="1095"/>
      <c r="K17" s="1095"/>
    </row>
  </sheetData>
  <mergeCells count="3">
    <mergeCell ref="C17:K17"/>
    <mergeCell ref="C15:K15"/>
    <mergeCell ref="C1:AM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B1:AM15"/>
  <sheetViews>
    <sheetView workbookViewId="0"/>
  </sheetViews>
  <sheetFormatPr defaultRowHeight="15"/>
  <cols>
    <col min="1" max="1" width="2.28515625" customWidth="1"/>
    <col min="2" max="2" width="5.7109375" customWidth="1"/>
    <col min="4" max="11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78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475" t="s">
        <v>332</v>
      </c>
    </row>
    <row r="6" spans="2:39">
      <c r="C6" s="1227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1228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614" t="s">
        <v>761</v>
      </c>
      <c r="D8" s="615">
        <v>80.936334412675734</v>
      </c>
      <c r="E8" s="615">
        <v>79.768171909819003</v>
      </c>
      <c r="F8" s="615">
        <v>79.877021406233482</v>
      </c>
      <c r="G8" s="615">
        <v>81.138632092843181</v>
      </c>
      <c r="H8" s="615">
        <v>79.024312168888741</v>
      </c>
      <c r="I8" s="615">
        <v>79.433026841679961</v>
      </c>
      <c r="J8" s="615">
        <v>80.178436555891238</v>
      </c>
      <c r="K8" s="616">
        <v>85.032659388414856</v>
      </c>
    </row>
    <row r="9" spans="2:39" ht="17.25" customHeight="1">
      <c r="C9" s="610" t="s">
        <v>434</v>
      </c>
      <c r="D9" s="591">
        <v>77.646753288913047</v>
      </c>
      <c r="E9" s="591">
        <v>76.380665663154375</v>
      </c>
      <c r="F9" s="591">
        <v>74.351233022819741</v>
      </c>
      <c r="G9" s="591">
        <v>75.947553081091769</v>
      </c>
      <c r="H9" s="591">
        <v>76.249801419744315</v>
      </c>
      <c r="I9" s="591">
        <v>77.231890796771722</v>
      </c>
      <c r="J9" s="591">
        <v>77.640548077254095</v>
      </c>
      <c r="K9" s="591">
        <v>81.760741364785176</v>
      </c>
    </row>
    <row r="10" spans="2:39" ht="17.25" customHeight="1">
      <c r="C10" s="610" t="s">
        <v>435</v>
      </c>
      <c r="D10" s="591">
        <v>82.041565887306277</v>
      </c>
      <c r="E10" s="591">
        <v>81.044024118278685</v>
      </c>
      <c r="F10" s="591">
        <v>82.136001286064172</v>
      </c>
      <c r="G10" s="591">
        <v>82.652627315986635</v>
      </c>
      <c r="H10" s="591">
        <v>82.733694281112335</v>
      </c>
      <c r="I10" s="591">
        <v>83.906029818977316</v>
      </c>
      <c r="J10" s="591">
        <v>84.757272012578625</v>
      </c>
      <c r="K10" s="591">
        <v>88.203261140154339</v>
      </c>
    </row>
    <row r="11" spans="2:39" ht="17.25" customHeight="1">
      <c r="C11" s="611" t="s">
        <v>436</v>
      </c>
      <c r="D11" s="593">
        <v>83.578369362531518</v>
      </c>
      <c r="E11" s="593">
        <v>82.406608554230004</v>
      </c>
      <c r="F11" s="593">
        <v>83.925597447679436</v>
      </c>
      <c r="G11" s="593">
        <v>86.068978248161713</v>
      </c>
      <c r="H11" s="593">
        <v>78.461898500011145</v>
      </c>
      <c r="I11" s="593">
        <v>77.517901697872077</v>
      </c>
      <c r="J11" s="593">
        <v>78.464513284975752</v>
      </c>
      <c r="K11" s="593">
        <v>85.66515470942737</v>
      </c>
    </row>
    <row r="15" spans="2:39">
      <c r="C15" s="2" t="s">
        <v>758</v>
      </c>
    </row>
  </sheetData>
  <mergeCells count="10">
    <mergeCell ref="H6:H7"/>
    <mergeCell ref="I6:I7"/>
    <mergeCell ref="J6:J7"/>
    <mergeCell ref="K6:K7"/>
    <mergeCell ref="C1:AM1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B1:AM15"/>
  <sheetViews>
    <sheetView workbookViewId="0">
      <selection activeCell="C1" sqref="C1:AM1"/>
    </sheetView>
  </sheetViews>
  <sheetFormatPr defaultRowHeight="15"/>
  <cols>
    <col min="1" max="1" width="2.28515625" customWidth="1"/>
    <col min="2" max="2" width="5.7109375" customWidth="1"/>
    <col min="4" max="11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80</v>
      </c>
    </row>
    <row r="5" spans="2:39">
      <c r="C5" s="594"/>
      <c r="D5" s="595"/>
      <c r="E5" s="595"/>
      <c r="F5" s="595"/>
      <c r="G5" s="595"/>
      <c r="H5" s="595"/>
      <c r="I5" s="595"/>
      <c r="J5" s="595"/>
      <c r="K5" s="475" t="s">
        <v>332</v>
      </c>
    </row>
    <row r="6" spans="2:39">
      <c r="C6" s="1227"/>
      <c r="D6" s="1224" t="s">
        <v>447</v>
      </c>
      <c r="E6" s="1224" t="s">
        <v>448</v>
      </c>
      <c r="F6" s="1224" t="s">
        <v>449</v>
      </c>
      <c r="G6" s="1222" t="s">
        <v>450</v>
      </c>
      <c r="H6" s="1222" t="s">
        <v>451</v>
      </c>
      <c r="I6" s="1222" t="s">
        <v>452</v>
      </c>
      <c r="J6" s="1222" t="s">
        <v>453</v>
      </c>
      <c r="K6" s="1222" t="s">
        <v>454</v>
      </c>
    </row>
    <row r="7" spans="2:39">
      <c r="C7" s="1228"/>
      <c r="D7" s="1229"/>
      <c r="E7" s="1229"/>
      <c r="F7" s="1229"/>
      <c r="G7" s="1226"/>
      <c r="H7" s="1226"/>
      <c r="I7" s="1226"/>
      <c r="J7" s="1226"/>
      <c r="K7" s="1226"/>
    </row>
    <row r="8" spans="2:39" ht="17.25" customHeight="1">
      <c r="C8" s="622" t="s">
        <v>761</v>
      </c>
      <c r="D8" s="623">
        <v>89.190852220285095</v>
      </c>
      <c r="E8" s="623">
        <v>89.486639429542976</v>
      </c>
      <c r="F8" s="623">
        <v>88.456873969147182</v>
      </c>
      <c r="G8" s="623">
        <v>90.370477151506407</v>
      </c>
      <c r="H8" s="623">
        <v>90.214733580264848</v>
      </c>
      <c r="I8" s="623">
        <v>91.419823412133297</v>
      </c>
      <c r="J8" s="623">
        <v>92.391356313046799</v>
      </c>
      <c r="K8" s="624">
        <v>93.553260519602745</v>
      </c>
    </row>
    <row r="9" spans="2:39" ht="17.25" customHeight="1">
      <c r="C9" s="610" t="s">
        <v>434</v>
      </c>
      <c r="D9" s="591">
        <v>88.59592711682744</v>
      </c>
      <c r="E9" s="591">
        <v>88.710246103941898</v>
      </c>
      <c r="F9" s="591">
        <v>85.559641940184576</v>
      </c>
      <c r="G9" s="591">
        <v>87.497494153023723</v>
      </c>
      <c r="H9" s="591">
        <v>89.620772121626231</v>
      </c>
      <c r="I9" s="591">
        <v>91.574324324324323</v>
      </c>
      <c r="J9" s="591">
        <v>92.438420255951556</v>
      </c>
      <c r="K9" s="591">
        <v>92.668559261887864</v>
      </c>
    </row>
    <row r="10" spans="2:39" ht="17.25" customHeight="1">
      <c r="C10" s="610" t="s">
        <v>435</v>
      </c>
      <c r="D10" s="591">
        <v>89.168627450980381</v>
      </c>
      <c r="E10" s="591">
        <v>89.468926553672318</v>
      </c>
      <c r="F10" s="591">
        <v>89.527125036263428</v>
      </c>
      <c r="G10" s="591">
        <v>90.603728913879849</v>
      </c>
      <c r="H10" s="591">
        <v>92.229510560080726</v>
      </c>
      <c r="I10" s="591">
        <v>93.5929648241206</v>
      </c>
      <c r="J10" s="591">
        <v>93.689847311672338</v>
      </c>
      <c r="K10" s="591">
        <v>94.606877745796098</v>
      </c>
    </row>
    <row r="11" spans="2:39" ht="17.25" customHeight="1">
      <c r="C11" s="611" t="s">
        <v>436</v>
      </c>
      <c r="D11" s="593">
        <v>89.893139734072918</v>
      </c>
      <c r="E11" s="593">
        <v>90.42757928206845</v>
      </c>
      <c r="F11" s="593">
        <v>90.528820323892859</v>
      </c>
      <c r="G11" s="593">
        <v>93.402328589909445</v>
      </c>
      <c r="H11" s="593">
        <v>88.710055473083841</v>
      </c>
      <c r="I11" s="593">
        <v>89.123188405797109</v>
      </c>
      <c r="J11" s="593">
        <v>91.009569023069503</v>
      </c>
      <c r="K11" s="593">
        <v>93.44287351929691</v>
      </c>
    </row>
    <row r="15" spans="2:39">
      <c r="C15" s="2" t="s">
        <v>758</v>
      </c>
    </row>
  </sheetData>
  <mergeCells count="10">
    <mergeCell ref="H6:H7"/>
    <mergeCell ref="I6:I7"/>
    <mergeCell ref="J6:J7"/>
    <mergeCell ref="K6:K7"/>
    <mergeCell ref="C1:AM1"/>
    <mergeCell ref="C6:C7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B1:AM18"/>
  <sheetViews>
    <sheetView workbookViewId="0"/>
  </sheetViews>
  <sheetFormatPr defaultRowHeight="15"/>
  <cols>
    <col min="1" max="1" width="2.28515625" customWidth="1"/>
    <col min="2" max="2" width="5.7109375" customWidth="1"/>
    <col min="3" max="3" width="19.7109375" customWidth="1"/>
    <col min="4" max="12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82</v>
      </c>
    </row>
    <row r="5" spans="2:39">
      <c r="L5" s="475" t="s">
        <v>332</v>
      </c>
    </row>
    <row r="6" spans="2:39">
      <c r="C6" s="66"/>
      <c r="D6" s="66"/>
      <c r="E6" s="1224" t="s">
        <v>447</v>
      </c>
      <c r="F6" s="1224" t="s">
        <v>448</v>
      </c>
      <c r="G6" s="1224" t="s">
        <v>449</v>
      </c>
      <c r="H6" s="1222" t="s">
        <v>450</v>
      </c>
      <c r="I6" s="1222" t="s">
        <v>451</v>
      </c>
      <c r="J6" s="1222" t="s">
        <v>452</v>
      </c>
      <c r="K6" s="1222" t="s">
        <v>453</v>
      </c>
      <c r="L6" s="1222" t="s">
        <v>454</v>
      </c>
    </row>
    <row r="7" spans="2:39">
      <c r="C7" s="66"/>
      <c r="D7" s="66"/>
      <c r="E7" s="1229"/>
      <c r="F7" s="1229"/>
      <c r="G7" s="1229"/>
      <c r="H7" s="1226"/>
      <c r="I7" s="1226"/>
      <c r="J7" s="1226"/>
      <c r="K7" s="1226"/>
      <c r="L7" s="1226"/>
    </row>
    <row r="8" spans="2:39">
      <c r="C8" s="1230" t="s">
        <v>757</v>
      </c>
      <c r="D8" s="625" t="s">
        <v>437</v>
      </c>
      <c r="E8" s="591">
        <v>62.741857912715346</v>
      </c>
      <c r="F8" s="591">
        <v>63.409393888407131</v>
      </c>
      <c r="G8" s="591">
        <v>67.699179556509876</v>
      </c>
      <c r="H8" s="591">
        <v>69.412619009197996</v>
      </c>
      <c r="I8" s="591">
        <v>77.061916346229296</v>
      </c>
      <c r="J8" s="591">
        <v>78.16527020284569</v>
      </c>
      <c r="K8" s="591">
        <v>81.258598643639829</v>
      </c>
      <c r="L8" s="630">
        <v>81.314103575598836</v>
      </c>
    </row>
    <row r="9" spans="2:39">
      <c r="C9" s="1231"/>
      <c r="D9" s="626" t="s">
        <v>438</v>
      </c>
      <c r="E9" s="548">
        <v>76.479640515835158</v>
      </c>
      <c r="F9" s="548">
        <v>78.995354340298917</v>
      </c>
      <c r="G9" s="548">
        <v>81.382795659970654</v>
      </c>
      <c r="H9" s="548">
        <v>83.830132539897221</v>
      </c>
      <c r="I9" s="548">
        <v>85.519130511619693</v>
      </c>
      <c r="J9" s="548">
        <v>81.455581455581466</v>
      </c>
      <c r="K9" s="548">
        <v>82.787915158561972</v>
      </c>
      <c r="L9" s="602">
        <v>87.185140274486031</v>
      </c>
    </row>
    <row r="10" spans="2:39">
      <c r="C10" s="1231"/>
      <c r="D10" s="627" t="s">
        <v>578</v>
      </c>
      <c r="E10" s="593">
        <v>47.75457451874022</v>
      </c>
      <c r="F10" s="593">
        <v>51.519600646013799</v>
      </c>
      <c r="G10" s="593">
        <v>55.654334532664286</v>
      </c>
      <c r="H10" s="593">
        <v>50.902354106110458</v>
      </c>
      <c r="I10" s="593">
        <v>50.399829080698332</v>
      </c>
      <c r="J10" s="593">
        <v>50.546461359110118</v>
      </c>
      <c r="K10" s="593">
        <v>61.097530965466326</v>
      </c>
      <c r="L10" s="593">
        <v>65.06720820036746</v>
      </c>
    </row>
    <row r="11" spans="2:39" ht="3.75" customHeight="1">
      <c r="C11" s="628"/>
      <c r="D11" s="532"/>
      <c r="E11" s="550"/>
      <c r="F11" s="550"/>
      <c r="G11" s="550"/>
      <c r="H11" s="550"/>
      <c r="I11" s="550"/>
      <c r="J11" s="550"/>
      <c r="K11" s="550"/>
      <c r="L11" s="550"/>
    </row>
    <row r="12" spans="2:39">
      <c r="C12" s="1232" t="s">
        <v>746</v>
      </c>
      <c r="D12" s="629" t="s">
        <v>437</v>
      </c>
      <c r="E12" s="631">
        <v>49.648010579129554</v>
      </c>
      <c r="F12" s="631">
        <v>49.156179079843206</v>
      </c>
      <c r="G12" s="631">
        <v>53.822684059252715</v>
      </c>
      <c r="H12" s="631">
        <v>52.184200946487081</v>
      </c>
      <c r="I12" s="631">
        <v>52.10269558095645</v>
      </c>
      <c r="J12" s="631">
        <v>57.983823450640102</v>
      </c>
      <c r="K12" s="631">
        <v>64.261744966442961</v>
      </c>
      <c r="L12" s="632">
        <v>69.888543760277727</v>
      </c>
    </row>
    <row r="13" spans="2:39">
      <c r="C13" s="1231"/>
      <c r="D13" s="626" t="s">
        <v>438</v>
      </c>
      <c r="E13" s="548">
        <v>68.761564473936062</v>
      </c>
      <c r="F13" s="548">
        <v>69.431313565391775</v>
      </c>
      <c r="G13" s="548">
        <v>75.329971822630881</v>
      </c>
      <c r="H13" s="548">
        <v>71.119343357303705</v>
      </c>
      <c r="I13" s="548">
        <v>74.243438173841923</v>
      </c>
      <c r="J13" s="548">
        <v>78.109011528753669</v>
      </c>
      <c r="K13" s="548">
        <v>83.496732026143789</v>
      </c>
      <c r="L13" s="602">
        <v>86.980906921241058</v>
      </c>
    </row>
    <row r="14" spans="2:39">
      <c r="C14" s="1233"/>
      <c r="D14" s="627" t="s">
        <v>578</v>
      </c>
      <c r="E14" s="593">
        <v>42.881830641797272</v>
      </c>
      <c r="F14" s="593">
        <v>44.554594670603954</v>
      </c>
      <c r="G14" s="593">
        <v>45.975545720501088</v>
      </c>
      <c r="H14" s="593">
        <v>45.06876227897839</v>
      </c>
      <c r="I14" s="593">
        <v>43.019663979507271</v>
      </c>
      <c r="J14" s="593">
        <v>54.452887537993924</v>
      </c>
      <c r="K14" s="593">
        <v>62.542606425411563</v>
      </c>
      <c r="L14" s="593">
        <v>66.44323773969117</v>
      </c>
    </row>
    <row r="18" spans="3:3">
      <c r="C18" s="2" t="s">
        <v>758</v>
      </c>
    </row>
  </sheetData>
  <mergeCells count="11">
    <mergeCell ref="C1:AM1"/>
    <mergeCell ref="H6:H7"/>
    <mergeCell ref="I6:I7"/>
    <mergeCell ref="J6:J7"/>
    <mergeCell ref="K6:K7"/>
    <mergeCell ref="L6:L7"/>
    <mergeCell ref="C8:C10"/>
    <mergeCell ref="C12:C14"/>
    <mergeCell ref="E6:E7"/>
    <mergeCell ref="F6:F7"/>
    <mergeCell ref="G6:G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B1:AM17"/>
  <sheetViews>
    <sheetView workbookViewId="0"/>
  </sheetViews>
  <sheetFormatPr defaultRowHeight="15"/>
  <cols>
    <col min="1" max="1" width="2.28515625" customWidth="1"/>
    <col min="2" max="2" width="5.7109375" customWidth="1"/>
    <col min="3" max="3" width="19.7109375" customWidth="1"/>
    <col min="4" max="12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84</v>
      </c>
    </row>
    <row r="5" spans="2:39">
      <c r="L5" s="475" t="s">
        <v>332</v>
      </c>
    </row>
    <row r="6" spans="2:39" ht="30" customHeight="1">
      <c r="C6" s="66"/>
      <c r="D6" s="66"/>
      <c r="E6" s="617" t="s">
        <v>447</v>
      </c>
      <c r="F6" s="617" t="s">
        <v>448</v>
      </c>
      <c r="G6" s="617" t="s">
        <v>449</v>
      </c>
      <c r="H6" s="618" t="s">
        <v>450</v>
      </c>
      <c r="I6" s="618" t="s">
        <v>451</v>
      </c>
      <c r="J6" s="618" t="s">
        <v>452</v>
      </c>
      <c r="K6" s="618" t="s">
        <v>453</v>
      </c>
      <c r="L6" s="618" t="s">
        <v>454</v>
      </c>
    </row>
    <row r="7" spans="2:39" ht="17.25" customHeight="1">
      <c r="C7" s="1234" t="s">
        <v>757</v>
      </c>
      <c r="D7" s="625" t="s">
        <v>437</v>
      </c>
      <c r="E7" s="591">
        <v>76.203501094091905</v>
      </c>
      <c r="F7" s="591">
        <v>76.338268792710707</v>
      </c>
      <c r="G7" s="591">
        <v>76.58201206678828</v>
      </c>
      <c r="H7" s="591">
        <v>81.452305929533082</v>
      </c>
      <c r="I7" s="591">
        <v>87.303563093200566</v>
      </c>
      <c r="J7" s="591">
        <v>85.376661742983757</v>
      </c>
      <c r="K7" s="591">
        <v>90.902255639097746</v>
      </c>
      <c r="L7" s="591">
        <v>90.042861852950878</v>
      </c>
    </row>
    <row r="8" spans="2:39" ht="17.25" customHeight="1">
      <c r="C8" s="1235"/>
      <c r="D8" s="547" t="s">
        <v>438</v>
      </c>
      <c r="E8" s="548">
        <v>83.263403263403262</v>
      </c>
      <c r="F8" s="548">
        <v>87.889668679614815</v>
      </c>
      <c r="G8" s="548">
        <v>88.90753482127873</v>
      </c>
      <c r="H8" s="548">
        <v>92.633256596422882</v>
      </c>
      <c r="I8" s="548">
        <v>93.468430748618331</v>
      </c>
      <c r="J8" s="548">
        <v>88.355298790395381</v>
      </c>
      <c r="K8" s="548">
        <v>93.453273363318345</v>
      </c>
      <c r="L8" s="549">
        <v>94.6609110530501</v>
      </c>
    </row>
    <row r="9" spans="2:39" ht="17.25" customHeight="1">
      <c r="C9" s="1235"/>
      <c r="D9" s="627" t="s">
        <v>578</v>
      </c>
      <c r="E9" s="593">
        <v>56.821114369501466</v>
      </c>
      <c r="F9" s="593">
        <v>62.339108910891092</v>
      </c>
      <c r="G9" s="593">
        <v>63.017973040439344</v>
      </c>
      <c r="H9" s="593">
        <v>66.469780219780219</v>
      </c>
      <c r="I9" s="593">
        <v>66.67562122229684</v>
      </c>
      <c r="J9" s="593">
        <v>68.44911864908903</v>
      </c>
      <c r="K9" s="593">
        <v>80.585579422629635</v>
      </c>
      <c r="L9" s="593">
        <v>81.364978423801944</v>
      </c>
    </row>
    <row r="10" spans="2:39" ht="3.75" customHeight="1">
      <c r="C10" s="633"/>
      <c r="D10" s="12"/>
      <c r="E10" s="550"/>
      <c r="F10" s="550"/>
      <c r="G10" s="550"/>
      <c r="H10" s="550"/>
      <c r="I10" s="550"/>
      <c r="J10" s="550"/>
      <c r="K10" s="550"/>
      <c r="L10" s="550"/>
    </row>
    <row r="11" spans="2:39" ht="17.25" customHeight="1">
      <c r="C11" s="1234" t="s">
        <v>746</v>
      </c>
      <c r="D11" s="625" t="s">
        <v>437</v>
      </c>
      <c r="E11" s="632">
        <v>56.785443517816525</v>
      </c>
      <c r="F11" s="632">
        <v>64.486391571553995</v>
      </c>
      <c r="G11" s="632">
        <v>58.464034613304491</v>
      </c>
      <c r="H11" s="632">
        <v>66.648137854363526</v>
      </c>
      <c r="I11" s="632">
        <v>67.118070249682603</v>
      </c>
      <c r="J11" s="632">
        <v>70.011025358324147</v>
      </c>
      <c r="K11" s="632">
        <v>79.888832743809999</v>
      </c>
      <c r="L11" s="632">
        <v>85.714285714285708</v>
      </c>
    </row>
    <row r="12" spans="2:39" ht="17.25" customHeight="1">
      <c r="C12" s="1235"/>
      <c r="D12" s="547" t="s">
        <v>438</v>
      </c>
      <c r="E12" s="548">
        <v>76.062176165803109</v>
      </c>
      <c r="F12" s="548">
        <v>81.708055723803753</v>
      </c>
      <c r="G12" s="548">
        <v>78.355314197051968</v>
      </c>
      <c r="H12" s="548">
        <v>82.958946553059647</v>
      </c>
      <c r="I12" s="548">
        <v>82.688766114180481</v>
      </c>
      <c r="J12" s="548">
        <v>84.182174338883456</v>
      </c>
      <c r="K12" s="548">
        <v>91.301703163017038</v>
      </c>
      <c r="L12" s="549">
        <v>81.818181818181827</v>
      </c>
    </row>
    <row r="13" spans="2:39" ht="17.25" customHeight="1">
      <c r="C13" s="1235"/>
      <c r="D13" s="627" t="s">
        <v>578</v>
      </c>
      <c r="E13" s="593">
        <v>40.072365445499777</v>
      </c>
      <c r="F13" s="593">
        <v>44.543080939947785</v>
      </c>
      <c r="G13" s="593">
        <v>50.890947968638635</v>
      </c>
      <c r="H13" s="593">
        <v>47.755417956656352</v>
      </c>
      <c r="I13" s="593">
        <v>42.868852459016395</v>
      </c>
      <c r="J13" s="593">
        <v>64.384288747346076</v>
      </c>
      <c r="K13" s="593">
        <v>63.611713665943604</v>
      </c>
      <c r="L13" s="593">
        <v>77.777777777777786</v>
      </c>
    </row>
    <row r="17" spans="3:3">
      <c r="C17" s="2" t="s">
        <v>758</v>
      </c>
    </row>
  </sheetData>
  <mergeCells count="3">
    <mergeCell ref="C7:C9"/>
    <mergeCell ref="C11:C13"/>
    <mergeCell ref="C1:AM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B1:AM40"/>
  <sheetViews>
    <sheetView workbookViewId="0"/>
  </sheetViews>
  <sheetFormatPr defaultRowHeight="15"/>
  <cols>
    <col min="1" max="1" width="2.28515625" customWidth="1"/>
    <col min="2" max="2" width="5.7109375" customWidth="1"/>
    <col min="3" max="3" width="19.85546875" customWidth="1"/>
    <col min="4" max="6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86</v>
      </c>
    </row>
    <row r="5" spans="2:39">
      <c r="C5" s="594"/>
      <c r="D5" s="594"/>
      <c r="E5" s="637"/>
      <c r="F5" s="638" t="s">
        <v>332</v>
      </c>
    </row>
    <row r="6" spans="2:39">
      <c r="C6" s="1204" t="s">
        <v>762</v>
      </c>
      <c r="D6" s="1236" t="s">
        <v>633</v>
      </c>
      <c r="E6" s="1236" t="s">
        <v>634</v>
      </c>
      <c r="F6" s="1236" t="s">
        <v>635</v>
      </c>
    </row>
    <row r="7" spans="2:39">
      <c r="C7" s="1205"/>
      <c r="D7" s="1237"/>
      <c r="E7" s="1237"/>
      <c r="F7" s="1237"/>
    </row>
    <row r="8" spans="2:39" ht="17.25" customHeight="1">
      <c r="C8" s="639" t="s">
        <v>763</v>
      </c>
      <c r="D8" s="640">
        <v>98.284192880386541</v>
      </c>
      <c r="E8" s="640">
        <v>96.532005165098695</v>
      </c>
      <c r="F8" s="641">
        <v>90.501961845487756</v>
      </c>
    </row>
    <row r="9" spans="2:39" ht="17.25" customHeight="1">
      <c r="C9" s="642" t="s">
        <v>764</v>
      </c>
      <c r="D9" s="548">
        <v>98.028074866310149</v>
      </c>
      <c r="E9" s="548">
        <v>95.329373650107996</v>
      </c>
      <c r="F9" s="602">
        <v>89.014987972614563</v>
      </c>
    </row>
    <row r="10" spans="2:39" ht="17.25" customHeight="1">
      <c r="C10" s="643" t="s">
        <v>765</v>
      </c>
      <c r="D10" s="479">
        <v>97.335357752894296</v>
      </c>
      <c r="E10" s="479">
        <v>94.91864116471595</v>
      </c>
      <c r="F10" s="644">
        <v>88.272591370689213</v>
      </c>
    </row>
    <row r="11" spans="2:39" ht="17.25" customHeight="1">
      <c r="C11" s="642" t="s">
        <v>766</v>
      </c>
      <c r="D11" s="548">
        <v>96.88400665360102</v>
      </c>
      <c r="E11" s="548">
        <v>92.690447596481548</v>
      </c>
      <c r="F11" s="602">
        <v>86.208714826710136</v>
      </c>
    </row>
    <row r="12" spans="2:39" ht="17.25" customHeight="1">
      <c r="C12" s="643" t="s">
        <v>767</v>
      </c>
      <c r="D12" s="479">
        <v>97.163825150621719</v>
      </c>
      <c r="E12" s="479">
        <v>93.803876193231133</v>
      </c>
      <c r="F12" s="644">
        <v>86.853877840279935</v>
      </c>
    </row>
    <row r="13" spans="2:39" ht="17.25" customHeight="1">
      <c r="C13" s="642" t="s">
        <v>768</v>
      </c>
      <c r="D13" s="548">
        <v>97.236352592817553</v>
      </c>
      <c r="E13" s="548">
        <v>95.7791754018169</v>
      </c>
      <c r="F13" s="602">
        <v>87.346769166839806</v>
      </c>
    </row>
    <row r="14" spans="2:39" ht="17.25" customHeight="1">
      <c r="C14" s="643" t="s">
        <v>769</v>
      </c>
      <c r="D14" s="479">
        <v>97.087168381158634</v>
      </c>
      <c r="E14" s="479">
        <v>94.653150467103956</v>
      </c>
      <c r="F14" s="644">
        <v>88.120950323974085</v>
      </c>
    </row>
    <row r="15" spans="2:39" ht="17.25" customHeight="1">
      <c r="C15" s="642" t="s">
        <v>770</v>
      </c>
      <c r="D15" s="548">
        <v>97.268254790264109</v>
      </c>
      <c r="E15" s="548">
        <v>94.329896907216494</v>
      </c>
      <c r="F15" s="602">
        <v>85.098743267504489</v>
      </c>
    </row>
    <row r="16" spans="2:39" ht="17.25" customHeight="1">
      <c r="C16" s="643" t="s">
        <v>771</v>
      </c>
      <c r="D16" s="479">
        <v>95.95644561173124</v>
      </c>
      <c r="E16" s="479">
        <v>93.434656741108356</v>
      </c>
      <c r="F16" s="644">
        <v>88.45697094450162</v>
      </c>
    </row>
    <row r="17" spans="3:6" ht="17.25" customHeight="1">
      <c r="C17" s="642" t="s">
        <v>772</v>
      </c>
      <c r="D17" s="548">
        <v>97.486136783733826</v>
      </c>
      <c r="E17" s="548">
        <v>95.79540528825315</v>
      </c>
      <c r="F17" s="602">
        <v>91.075092326631108</v>
      </c>
    </row>
    <row r="18" spans="3:6" ht="17.25" customHeight="1">
      <c r="C18" s="643" t="s">
        <v>773</v>
      </c>
      <c r="D18" s="479">
        <v>98.284313725490193</v>
      </c>
      <c r="E18" s="479">
        <v>95.487277964474316</v>
      </c>
      <c r="F18" s="644">
        <v>90.772409043957296</v>
      </c>
    </row>
    <row r="19" spans="3:6" ht="17.25" customHeight="1">
      <c r="C19" s="642" t="s">
        <v>774</v>
      </c>
      <c r="D19" s="548">
        <v>96.132397913293758</v>
      </c>
      <c r="E19" s="548">
        <v>96.001415428167022</v>
      </c>
      <c r="F19" s="602">
        <v>86.245914005531816</v>
      </c>
    </row>
    <row r="20" spans="3:6" ht="17.25" customHeight="1">
      <c r="C20" s="643" t="s">
        <v>775</v>
      </c>
      <c r="D20" s="479">
        <v>97.268822432936219</v>
      </c>
      <c r="E20" s="479">
        <v>94.986200551977916</v>
      </c>
      <c r="F20" s="644">
        <v>88.529159519725553</v>
      </c>
    </row>
    <row r="21" spans="3:6" ht="17.25" customHeight="1">
      <c r="C21" s="642" t="s">
        <v>776</v>
      </c>
      <c r="D21" s="548">
        <v>97.944199706314237</v>
      </c>
      <c r="E21" s="548">
        <v>97.208737864077662</v>
      </c>
      <c r="F21" s="602">
        <v>89.788732394366207</v>
      </c>
    </row>
    <row r="22" spans="3:6" ht="17.25" customHeight="1">
      <c r="C22" s="643" t="s">
        <v>777</v>
      </c>
      <c r="D22" s="479">
        <v>97.373358348968111</v>
      </c>
      <c r="E22" s="479">
        <v>95.612009237875284</v>
      </c>
      <c r="F22" s="644">
        <v>89.953632148377125</v>
      </c>
    </row>
    <row r="23" spans="3:6" ht="17.25" customHeight="1">
      <c r="C23" s="642" t="s">
        <v>778</v>
      </c>
      <c r="D23" s="548">
        <v>96.904643035446824</v>
      </c>
      <c r="E23" s="548">
        <v>93.1611669057867</v>
      </c>
      <c r="F23" s="602">
        <v>87.603033300362682</v>
      </c>
    </row>
    <row r="24" spans="3:6" ht="17.25" customHeight="1">
      <c r="C24" s="643" t="s">
        <v>779</v>
      </c>
      <c r="D24" s="479">
        <v>97.273718647764454</v>
      </c>
      <c r="E24" s="479">
        <v>93.607954545454547</v>
      </c>
      <c r="F24" s="644">
        <v>84.270781483325038</v>
      </c>
    </row>
    <row r="25" spans="3:6" ht="17.25" customHeight="1">
      <c r="C25" s="642" t="s">
        <v>780</v>
      </c>
      <c r="D25" s="548">
        <v>97.403760071620411</v>
      </c>
      <c r="E25" s="548">
        <v>92.921288959323817</v>
      </c>
      <c r="F25" s="602">
        <v>88.221056877773293</v>
      </c>
    </row>
    <row r="26" spans="3:6" ht="17.25" customHeight="1">
      <c r="C26" s="643" t="s">
        <v>781</v>
      </c>
      <c r="D26" s="479">
        <v>96.463104325699746</v>
      </c>
      <c r="E26" s="479">
        <v>91.694319734530552</v>
      </c>
      <c r="F26" s="644">
        <v>84.95491564863292</v>
      </c>
    </row>
    <row r="27" spans="3:6" ht="17.25" customHeight="1">
      <c r="C27" s="642" t="s">
        <v>782</v>
      </c>
      <c r="D27" s="548">
        <v>95.417476142695506</v>
      </c>
      <c r="E27" s="548">
        <v>89.32904451448556</v>
      </c>
      <c r="F27" s="602">
        <v>84.090078719234725</v>
      </c>
    </row>
    <row r="28" spans="3:6" ht="17.25" customHeight="1">
      <c r="C28" s="643" t="s">
        <v>783</v>
      </c>
      <c r="D28" s="479">
        <v>95.127221651990709</v>
      </c>
      <c r="E28" s="479">
        <v>87.222280720227445</v>
      </c>
      <c r="F28" s="644">
        <v>82.198554583491827</v>
      </c>
    </row>
    <row r="29" spans="3:6" ht="17.25" customHeight="1">
      <c r="C29" s="642" t="s">
        <v>784</v>
      </c>
      <c r="D29" s="548">
        <v>96.711540437776179</v>
      </c>
      <c r="E29" s="548">
        <v>93.796791443850267</v>
      </c>
      <c r="F29" s="602">
        <v>89.065637065637077</v>
      </c>
    </row>
    <row r="30" spans="3:6" ht="17.25" customHeight="1">
      <c r="C30" s="643" t="s">
        <v>785</v>
      </c>
      <c r="D30" s="479">
        <v>95.472070294987901</v>
      </c>
      <c r="E30" s="479">
        <v>90.550745993737337</v>
      </c>
      <c r="F30" s="644">
        <v>85.561104582843711</v>
      </c>
    </row>
    <row r="31" spans="3:6" ht="17.25" customHeight="1">
      <c r="C31" s="642" t="s">
        <v>786</v>
      </c>
      <c r="D31" s="548">
        <v>95.466457023060798</v>
      </c>
      <c r="E31" s="548">
        <v>87.681522283425139</v>
      </c>
      <c r="F31" s="602">
        <v>81.099922540666142</v>
      </c>
    </row>
    <row r="32" spans="3:6" ht="17.25" customHeight="1">
      <c r="C32" s="643" t="s">
        <v>787</v>
      </c>
      <c r="D32" s="479">
        <v>95.829909613804446</v>
      </c>
      <c r="E32" s="479">
        <v>93.198680956306674</v>
      </c>
      <c r="F32" s="644">
        <v>89.061102831594624</v>
      </c>
    </row>
    <row r="33" spans="3:6" ht="17.25" customHeight="1">
      <c r="C33" s="642" t="s">
        <v>788</v>
      </c>
      <c r="D33" s="548">
        <v>95.989724561153139</v>
      </c>
      <c r="E33" s="548">
        <v>91.592801504163319</v>
      </c>
      <c r="F33" s="602">
        <v>86.848216170572087</v>
      </c>
    </row>
    <row r="34" spans="3:6" ht="17.25" customHeight="1">
      <c r="C34" s="643" t="s">
        <v>789</v>
      </c>
      <c r="D34" s="479">
        <v>95.098756400877832</v>
      </c>
      <c r="E34" s="479">
        <v>90.362811791383223</v>
      </c>
      <c r="F34" s="644">
        <v>84.871638141809285</v>
      </c>
    </row>
    <row r="35" spans="3:6" ht="17.25" customHeight="1">
      <c r="C35" s="642" t="s">
        <v>685</v>
      </c>
      <c r="D35" s="548">
        <v>95.100892047893907</v>
      </c>
      <c r="E35" s="548">
        <v>88.156434911242599</v>
      </c>
      <c r="F35" s="602">
        <v>82.614083685668461</v>
      </c>
    </row>
    <row r="36" spans="3:6" ht="17.25" customHeight="1">
      <c r="C36" s="645" t="s">
        <v>686</v>
      </c>
      <c r="D36" s="550">
        <v>94.008518010539234</v>
      </c>
      <c r="E36" s="550">
        <v>91.338137628938824</v>
      </c>
      <c r="F36" s="600">
        <v>84.73506691328474</v>
      </c>
    </row>
    <row r="37" spans="3:6" ht="17.25" customHeight="1">
      <c r="C37" s="646" t="s">
        <v>687</v>
      </c>
      <c r="D37" s="604">
        <v>93.702474768422505</v>
      </c>
      <c r="E37" s="604">
        <v>86.492829204693606</v>
      </c>
      <c r="F37" s="605">
        <v>79.720692368214003</v>
      </c>
    </row>
    <row r="40" spans="3:6">
      <c r="C40" s="2" t="s">
        <v>758</v>
      </c>
    </row>
  </sheetData>
  <mergeCells count="5">
    <mergeCell ref="C6:C7"/>
    <mergeCell ref="D6:D7"/>
    <mergeCell ref="E6:E7"/>
    <mergeCell ref="F6:F7"/>
    <mergeCell ref="C1:AM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B1:AM40"/>
  <sheetViews>
    <sheetView workbookViewId="0">
      <selection activeCell="C1" sqref="C1:AM1"/>
    </sheetView>
  </sheetViews>
  <sheetFormatPr defaultRowHeight="15"/>
  <cols>
    <col min="1" max="1" width="2.28515625" customWidth="1"/>
    <col min="2" max="2" width="5.7109375" customWidth="1"/>
    <col min="3" max="3" width="19.85546875" customWidth="1"/>
    <col min="4" max="6" width="11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88</v>
      </c>
    </row>
    <row r="5" spans="2:39">
      <c r="C5" s="594"/>
      <c r="D5" s="594"/>
      <c r="E5" s="637"/>
      <c r="F5" s="638" t="s">
        <v>332</v>
      </c>
    </row>
    <row r="6" spans="2:39">
      <c r="C6" s="1204" t="s">
        <v>762</v>
      </c>
      <c r="D6" s="1224" t="s">
        <v>790</v>
      </c>
      <c r="E6" s="1224" t="s">
        <v>757</v>
      </c>
      <c r="F6" s="1224" t="s">
        <v>746</v>
      </c>
    </row>
    <row r="7" spans="2:39" ht="32.25" customHeight="1">
      <c r="C7" s="1205"/>
      <c r="D7" s="1229"/>
      <c r="E7" s="1229"/>
      <c r="F7" s="1229"/>
    </row>
    <row r="8" spans="2:39" ht="17.25" customHeight="1">
      <c r="C8" s="639" t="s">
        <v>763</v>
      </c>
      <c r="D8" s="640">
        <v>84.121692019170652</v>
      </c>
      <c r="E8" s="640">
        <v>84.460233784093518</v>
      </c>
      <c r="F8" s="641">
        <v>80.733944954128447</v>
      </c>
    </row>
    <row r="9" spans="2:39" ht="17.25" customHeight="1">
      <c r="C9" s="642" t="s">
        <v>764</v>
      </c>
      <c r="D9" s="548">
        <v>80.540707236842096</v>
      </c>
      <c r="E9" s="548">
        <v>80.743618201997776</v>
      </c>
      <c r="F9" s="602">
        <v>77.994428969359333</v>
      </c>
    </row>
    <row r="10" spans="2:39" ht="17.25" customHeight="1">
      <c r="C10" s="643" t="s">
        <v>765</v>
      </c>
      <c r="D10" s="479">
        <v>83.376076204433048</v>
      </c>
      <c r="E10" s="479">
        <v>83.82087012019997</v>
      </c>
      <c r="F10" s="644">
        <v>80.619644034278181</v>
      </c>
    </row>
    <row r="11" spans="2:39" ht="17.25" customHeight="1">
      <c r="C11" s="642" t="s">
        <v>766</v>
      </c>
      <c r="D11" s="548">
        <v>80.597533437554276</v>
      </c>
      <c r="E11" s="548">
        <v>81.436827802656254</v>
      </c>
      <c r="F11" s="602">
        <v>72.347629796839726</v>
      </c>
    </row>
    <row r="12" spans="2:39" ht="17.25" customHeight="1">
      <c r="C12" s="643" t="s">
        <v>767</v>
      </c>
      <c r="D12" s="479">
        <v>81.499233128834362</v>
      </c>
      <c r="E12" s="479">
        <v>81.396329888209237</v>
      </c>
      <c r="F12" s="644">
        <v>82.526315789473685</v>
      </c>
    </row>
    <row r="13" spans="2:39" ht="17.25" customHeight="1">
      <c r="C13" s="642" t="s">
        <v>768</v>
      </c>
      <c r="D13" s="548">
        <v>84.106577231227874</v>
      </c>
      <c r="E13" s="548">
        <v>84.577114427860707</v>
      </c>
      <c r="F13" s="602">
        <v>79.926335174953948</v>
      </c>
    </row>
    <row r="14" spans="2:39" ht="17.25" customHeight="1">
      <c r="C14" s="643" t="s">
        <v>769</v>
      </c>
      <c r="D14" s="479">
        <v>79.976798143851511</v>
      </c>
      <c r="E14" s="479">
        <v>80.210074003342086</v>
      </c>
      <c r="F14" s="644">
        <v>71.900826446281002</v>
      </c>
    </row>
    <row r="15" spans="2:39" ht="17.25" customHeight="1">
      <c r="C15" s="642" t="s">
        <v>770</v>
      </c>
      <c r="D15" s="548">
        <v>75.270079849694696</v>
      </c>
      <c r="E15" s="548">
        <v>75.222772277227719</v>
      </c>
      <c r="F15" s="602">
        <v>76.146788990825684</v>
      </c>
    </row>
    <row r="16" spans="2:39" ht="17.25" customHeight="1">
      <c r="C16" s="643" t="s">
        <v>771</v>
      </c>
      <c r="D16" s="479">
        <v>80.036363636363632</v>
      </c>
      <c r="E16" s="479">
        <v>80.530440024110902</v>
      </c>
      <c r="F16" s="644">
        <v>78.004956629491957</v>
      </c>
    </row>
    <row r="17" spans="3:6" ht="17.25" customHeight="1">
      <c r="C17" s="642" t="s">
        <v>772</v>
      </c>
      <c r="D17" s="548">
        <v>81.357951161405595</v>
      </c>
      <c r="E17" s="548">
        <v>82.579806442293801</v>
      </c>
      <c r="F17" s="602">
        <v>75.611413043478265</v>
      </c>
    </row>
    <row r="18" spans="3:6" ht="17.25" customHeight="1">
      <c r="C18" s="643" t="s">
        <v>773</v>
      </c>
      <c r="D18" s="479">
        <v>80.120196109441721</v>
      </c>
      <c r="E18" s="479">
        <v>81.06671554252199</v>
      </c>
      <c r="F18" s="644">
        <v>74.16378316032295</v>
      </c>
    </row>
    <row r="19" spans="3:6" ht="17.25" customHeight="1">
      <c r="C19" s="642" t="s">
        <v>774</v>
      </c>
      <c r="D19" s="548">
        <v>76.438945669714897</v>
      </c>
      <c r="E19" s="548">
        <v>77.115613825983303</v>
      </c>
      <c r="F19" s="602">
        <v>70.165745856353595</v>
      </c>
    </row>
    <row r="20" spans="3:6" ht="17.25" customHeight="1">
      <c r="C20" s="643" t="s">
        <v>775</v>
      </c>
      <c r="D20" s="479">
        <v>81.55246765692381</v>
      </c>
      <c r="E20" s="479">
        <v>82.948252816497998</v>
      </c>
      <c r="F20" s="644">
        <v>74.4140625</v>
      </c>
    </row>
    <row r="21" spans="3:6" ht="17.25" customHeight="1">
      <c r="C21" s="642" t="s">
        <v>776</v>
      </c>
      <c r="D21" s="548">
        <v>76.5625</v>
      </c>
      <c r="E21" s="548">
        <v>75.50077041602465</v>
      </c>
      <c r="F21" s="602">
        <v>89.090909090909093</v>
      </c>
    </row>
    <row r="22" spans="3:6" ht="17.25" customHeight="1">
      <c r="C22" s="643" t="s">
        <v>777</v>
      </c>
      <c r="D22" s="479">
        <v>78.177458033573146</v>
      </c>
      <c r="E22" s="479">
        <v>77.272727272727266</v>
      </c>
      <c r="F22" s="644">
        <v>84.259259259259252</v>
      </c>
    </row>
    <row r="23" spans="3:6" ht="17.25" customHeight="1">
      <c r="C23" s="642" t="s">
        <v>778</v>
      </c>
      <c r="D23" s="548">
        <v>80.589569160997726</v>
      </c>
      <c r="E23" s="548">
        <v>81.09020742884708</v>
      </c>
      <c r="F23" s="602">
        <v>72.727272727272734</v>
      </c>
    </row>
    <row r="24" spans="3:6" ht="17.25" customHeight="1">
      <c r="C24" s="643" t="s">
        <v>779</v>
      </c>
      <c r="D24" s="479">
        <v>79.310344827586206</v>
      </c>
      <c r="E24" s="479">
        <v>78.577336641852767</v>
      </c>
      <c r="F24" s="644">
        <v>84.153005464480884</v>
      </c>
    </row>
    <row r="25" spans="3:6" ht="17.25" customHeight="1">
      <c r="C25" s="642" t="s">
        <v>780</v>
      </c>
      <c r="D25" s="548">
        <v>81.350649350649348</v>
      </c>
      <c r="E25" s="548">
        <v>81.612529002320187</v>
      </c>
      <c r="F25" s="602">
        <v>79.104477611940297</v>
      </c>
    </row>
    <row r="26" spans="3:6" ht="17.25" customHeight="1">
      <c r="C26" s="643" t="s">
        <v>781</v>
      </c>
      <c r="D26" s="479">
        <v>78.124624804898545</v>
      </c>
      <c r="E26" s="479">
        <v>78.718813216453128</v>
      </c>
      <c r="F26" s="644">
        <v>73.304157549234134</v>
      </c>
    </row>
    <row r="27" spans="3:6" ht="17.25" customHeight="1">
      <c r="C27" s="642" t="s">
        <v>782</v>
      </c>
      <c r="D27" s="548">
        <v>77.040484170424122</v>
      </c>
      <c r="E27" s="548">
        <v>78.074097732353877</v>
      </c>
      <c r="F27" s="602">
        <v>67.085362727505768</v>
      </c>
    </row>
    <row r="28" spans="3:6" ht="17.25" customHeight="1">
      <c r="C28" s="643" t="s">
        <v>783</v>
      </c>
      <c r="D28" s="479">
        <v>75.041909743177087</v>
      </c>
      <c r="E28" s="479">
        <v>75.556388160359688</v>
      </c>
      <c r="F28" s="644">
        <v>70.66326530612244</v>
      </c>
    </row>
    <row r="29" spans="3:6" ht="17.25" customHeight="1">
      <c r="C29" s="642" t="s">
        <v>784</v>
      </c>
      <c r="D29" s="548">
        <v>83.963187781476407</v>
      </c>
      <c r="E29" s="548">
        <v>84.375</v>
      </c>
      <c r="F29" s="602">
        <v>78.706199460916437</v>
      </c>
    </row>
    <row r="30" spans="3:6" ht="17.25" customHeight="1">
      <c r="C30" s="643" t="s">
        <v>785</v>
      </c>
      <c r="D30" s="479">
        <v>80.167890870933888</v>
      </c>
      <c r="E30" s="479">
        <v>80.14480646059593</v>
      </c>
      <c r="F30" s="644">
        <v>80.542986425339365</v>
      </c>
    </row>
    <row r="31" spans="3:6" ht="17.25" customHeight="1">
      <c r="C31" s="642" t="s">
        <v>786</v>
      </c>
      <c r="D31" s="548">
        <v>82.114361702127653</v>
      </c>
      <c r="E31" s="548">
        <v>82.064421669106878</v>
      </c>
      <c r="F31" s="602">
        <v>82.608695652173907</v>
      </c>
    </row>
    <row r="32" spans="3:6" ht="17.25" customHeight="1">
      <c r="C32" s="643" t="s">
        <v>787</v>
      </c>
      <c r="D32" s="479">
        <v>76.204101096804948</v>
      </c>
      <c r="E32" s="479">
        <v>76.884422110552762</v>
      </c>
      <c r="F32" s="644">
        <v>72.222222222222214</v>
      </c>
    </row>
    <row r="33" spans="3:6" ht="17.25" customHeight="1">
      <c r="C33" s="642" t="s">
        <v>788</v>
      </c>
      <c r="D33" s="548">
        <v>77.567327611719435</v>
      </c>
      <c r="E33" s="548">
        <v>77.725908636212068</v>
      </c>
      <c r="F33" s="602">
        <v>76.31578947368422</v>
      </c>
    </row>
    <row r="34" spans="3:6" ht="17.25" customHeight="1">
      <c r="C34" s="643" t="s">
        <v>789</v>
      </c>
      <c r="D34" s="479">
        <v>79.398762157382848</v>
      </c>
      <c r="E34" s="479">
        <v>79.607415485278082</v>
      </c>
      <c r="F34" s="644">
        <v>78.504672897196258</v>
      </c>
    </row>
    <row r="35" spans="3:6" ht="17.25" customHeight="1">
      <c r="C35" s="642" t="s">
        <v>685</v>
      </c>
      <c r="D35" s="548">
        <v>76.101676101676091</v>
      </c>
      <c r="E35" s="548">
        <v>76.728593378963538</v>
      </c>
      <c r="F35" s="602">
        <v>73.675675675675677</v>
      </c>
    </row>
    <row r="36" spans="3:6" ht="17.25" customHeight="1">
      <c r="C36" s="645" t="s">
        <v>686</v>
      </c>
      <c r="D36" s="550">
        <v>72.647448641484431</v>
      </c>
      <c r="E36" s="550">
        <v>72.785069729286306</v>
      </c>
      <c r="F36" s="600">
        <v>72.068965517241381</v>
      </c>
    </row>
    <row r="37" spans="3:6" ht="17.25" customHeight="1">
      <c r="C37" s="646" t="s">
        <v>687</v>
      </c>
      <c r="D37" s="604">
        <v>73.404402602796623</v>
      </c>
      <c r="E37" s="604">
        <v>74.952463267070016</v>
      </c>
      <c r="F37" s="605">
        <v>67.176634214186365</v>
      </c>
    </row>
    <row r="40" spans="3:6">
      <c r="C40" s="2" t="s">
        <v>758</v>
      </c>
    </row>
  </sheetData>
  <mergeCells count="5">
    <mergeCell ref="C6:C7"/>
    <mergeCell ref="D6:D7"/>
    <mergeCell ref="E6:E7"/>
    <mergeCell ref="F6:F7"/>
    <mergeCell ref="C1:AM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B1:AM37"/>
  <sheetViews>
    <sheetView workbookViewId="0"/>
  </sheetViews>
  <sheetFormatPr defaultRowHeight="15"/>
  <cols>
    <col min="1" max="1" width="2.28515625" customWidth="1"/>
    <col min="2" max="2" width="5.7109375" customWidth="1"/>
    <col min="5" max="5" width="17.42578125" customWidth="1"/>
    <col min="6" max="6" width="9.1406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90</v>
      </c>
    </row>
    <row r="5" spans="2:39">
      <c r="C5" s="637"/>
      <c r="D5" s="594"/>
      <c r="E5" s="594"/>
      <c r="F5" s="637"/>
      <c r="G5" s="637"/>
      <c r="H5" s="637"/>
      <c r="I5" s="637"/>
      <c r="J5" s="637"/>
      <c r="K5" s="595"/>
      <c r="L5" s="595"/>
      <c r="M5" s="595"/>
      <c r="N5" s="595"/>
      <c r="O5" s="595"/>
      <c r="P5" s="595"/>
      <c r="Q5" s="595"/>
      <c r="R5" s="638" t="s">
        <v>332</v>
      </c>
    </row>
    <row r="6" spans="2:39" ht="18.75" customHeight="1">
      <c r="C6" s="671"/>
      <c r="D6" s="671"/>
      <c r="E6" s="672" t="s">
        <v>441</v>
      </c>
      <c r="F6" s="1250" t="s">
        <v>680</v>
      </c>
      <c r="G6" s="1250" t="s">
        <v>714</v>
      </c>
      <c r="H6" s="1250" t="s">
        <v>715</v>
      </c>
      <c r="I6" s="1250" t="s">
        <v>716</v>
      </c>
      <c r="J6" s="1250" t="s">
        <v>446</v>
      </c>
      <c r="K6" s="1250" t="s">
        <v>447</v>
      </c>
      <c r="L6" s="1250" t="s">
        <v>448</v>
      </c>
      <c r="M6" s="1250" t="s">
        <v>449</v>
      </c>
      <c r="N6" s="1250" t="s">
        <v>450</v>
      </c>
      <c r="O6" s="1250" t="s">
        <v>451</v>
      </c>
      <c r="P6" s="1250" t="s">
        <v>452</v>
      </c>
      <c r="Q6" s="1250" t="s">
        <v>453</v>
      </c>
      <c r="R6" s="1252" t="s">
        <v>454</v>
      </c>
    </row>
    <row r="7" spans="2:39" ht="18.75" customHeight="1">
      <c r="C7" s="673" t="s">
        <v>442</v>
      </c>
      <c r="D7" s="673"/>
      <c r="E7" s="674"/>
      <c r="F7" s="1251"/>
      <c r="G7" s="1251"/>
      <c r="H7" s="1251"/>
      <c r="I7" s="1251"/>
      <c r="J7" s="1251"/>
      <c r="K7" s="1251"/>
      <c r="L7" s="1251"/>
      <c r="M7" s="1251"/>
      <c r="N7" s="1251"/>
      <c r="O7" s="1251"/>
      <c r="P7" s="1251"/>
      <c r="Q7" s="1251"/>
      <c r="R7" s="1253"/>
    </row>
    <row r="8" spans="2:39" ht="18" customHeight="1">
      <c r="C8" s="1245" t="s">
        <v>600</v>
      </c>
      <c r="D8" s="1245"/>
      <c r="E8" s="1246"/>
      <c r="F8" s="675">
        <v>13.813489542898822</v>
      </c>
      <c r="G8" s="675">
        <v>15.219774051000471</v>
      </c>
      <c r="H8" s="675">
        <v>13.822251929430877</v>
      </c>
      <c r="I8" s="675">
        <v>13.150780945498582</v>
      </c>
      <c r="J8" s="675">
        <v>12.59065516526185</v>
      </c>
      <c r="K8" s="675">
        <v>12.734670354010845</v>
      </c>
      <c r="L8" s="675">
        <v>13.604332094471829</v>
      </c>
      <c r="M8" s="675">
        <v>13.046809176262315</v>
      </c>
      <c r="N8" s="675">
        <v>12.004436538962494</v>
      </c>
      <c r="O8" s="675">
        <v>11.771226694683264</v>
      </c>
      <c r="P8" s="675">
        <v>10.659939571278102</v>
      </c>
      <c r="Q8" s="675">
        <v>10.141074837921764</v>
      </c>
      <c r="R8" s="676">
        <v>7.9254720109020838</v>
      </c>
    </row>
    <row r="9" spans="2:39" ht="16.5" customHeight="1">
      <c r="C9" s="1240" t="s">
        <v>799</v>
      </c>
      <c r="D9" s="1238" t="s">
        <v>633</v>
      </c>
      <c r="E9" s="1239"/>
      <c r="F9" s="677">
        <v>10.426063218709245</v>
      </c>
      <c r="G9" s="677">
        <v>11.271457589315347</v>
      </c>
      <c r="H9" s="677">
        <v>10.243252057475019</v>
      </c>
      <c r="I9" s="677">
        <v>9.5211627180431719</v>
      </c>
      <c r="J9" s="677">
        <v>8.9093292239432031</v>
      </c>
      <c r="K9" s="677">
        <v>8.7519940813353969</v>
      </c>
      <c r="L9" s="677">
        <v>8.4929530135009657</v>
      </c>
      <c r="M9" s="677">
        <v>7.6414505132905788</v>
      </c>
      <c r="N9" s="677">
        <v>6.7235485858485333</v>
      </c>
      <c r="O9" s="677">
        <v>5.4504647619978641</v>
      </c>
      <c r="P9" s="677">
        <v>4.3911196193891868</v>
      </c>
      <c r="Q9" s="677">
        <v>4.0142127915123638</v>
      </c>
      <c r="R9" s="678">
        <v>3.711832638007138</v>
      </c>
    </row>
    <row r="10" spans="2:39" ht="16.5" customHeight="1">
      <c r="C10" s="1241"/>
      <c r="D10" s="679"/>
      <c r="E10" s="679" t="s">
        <v>572</v>
      </c>
      <c r="F10" s="550">
        <v>0</v>
      </c>
      <c r="G10" s="550">
        <v>0</v>
      </c>
      <c r="H10" s="550">
        <v>0</v>
      </c>
      <c r="I10" s="550">
        <v>0</v>
      </c>
      <c r="J10" s="550">
        <v>0</v>
      </c>
      <c r="K10" s="550">
        <v>0</v>
      </c>
      <c r="L10" s="550">
        <v>0</v>
      </c>
      <c r="M10" s="550">
        <v>0</v>
      </c>
      <c r="N10" s="550">
        <v>0</v>
      </c>
      <c r="O10" s="550">
        <v>0</v>
      </c>
      <c r="P10" s="550">
        <v>0</v>
      </c>
      <c r="Q10" s="550">
        <v>0</v>
      </c>
      <c r="R10" s="600">
        <v>6.8759830507048036E-3</v>
      </c>
    </row>
    <row r="11" spans="2:39" ht="16.5" customHeight="1">
      <c r="C11" s="1241"/>
      <c r="D11" s="679"/>
      <c r="E11" s="679" t="s">
        <v>573</v>
      </c>
      <c r="F11" s="550">
        <v>16.558494412083206</v>
      </c>
      <c r="G11" s="550">
        <v>19.1787006844161</v>
      </c>
      <c r="H11" s="550">
        <v>17.011009873648931</v>
      </c>
      <c r="I11" s="550">
        <v>16.381696093364511</v>
      </c>
      <c r="J11" s="550">
        <v>15.761439985148911</v>
      </c>
      <c r="K11" s="550">
        <v>14.795612584574727</v>
      </c>
      <c r="L11" s="550">
        <v>14.918968650784663</v>
      </c>
      <c r="M11" s="550">
        <v>13.806481589034732</v>
      </c>
      <c r="N11" s="550">
        <v>12.331321495711208</v>
      </c>
      <c r="O11" s="550">
        <v>10.853518052566159</v>
      </c>
      <c r="P11" s="550">
        <v>8.7664222425908918</v>
      </c>
      <c r="Q11" s="550">
        <v>7.6348541314630154</v>
      </c>
      <c r="R11" s="600">
        <v>6.8969191427179766</v>
      </c>
    </row>
    <row r="12" spans="2:39" ht="16.5" customHeight="1">
      <c r="C12" s="1241"/>
      <c r="D12" s="679"/>
      <c r="E12" s="679" t="s">
        <v>574</v>
      </c>
      <c r="F12" s="550">
        <v>8.650150321574003</v>
      </c>
      <c r="G12" s="550">
        <v>9.3977960577370823</v>
      </c>
      <c r="H12" s="550">
        <v>9.2962300279373409</v>
      </c>
      <c r="I12" s="550">
        <v>8.423071824583019</v>
      </c>
      <c r="J12" s="550">
        <v>7.7916844267059417</v>
      </c>
      <c r="K12" s="550">
        <v>8.7154689741335432</v>
      </c>
      <c r="L12" s="550">
        <v>8.1032773706105985</v>
      </c>
      <c r="M12" s="550">
        <v>7.5296442687747032</v>
      </c>
      <c r="N12" s="550">
        <v>5.8086493634758085</v>
      </c>
      <c r="O12" s="550">
        <v>4.3671366773437228</v>
      </c>
      <c r="P12" s="550">
        <v>3.4279278176342416</v>
      </c>
      <c r="Q12" s="550">
        <v>3.4084648540039524</v>
      </c>
      <c r="R12" s="600">
        <v>3.0653294804238129</v>
      </c>
    </row>
    <row r="13" spans="2:39" ht="16.5" customHeight="1">
      <c r="C13" s="1241"/>
      <c r="D13" s="679"/>
      <c r="E13" s="679" t="s">
        <v>575</v>
      </c>
      <c r="F13" s="550">
        <v>14.62567602195638</v>
      </c>
      <c r="G13" s="550">
        <v>14.649527216240671</v>
      </c>
      <c r="H13" s="550">
        <v>13.108197201670208</v>
      </c>
      <c r="I13" s="550">
        <v>11.844477250977391</v>
      </c>
      <c r="J13" s="550">
        <v>10.723957122174795</v>
      </c>
      <c r="K13" s="550">
        <v>10.179551308372837</v>
      </c>
      <c r="L13" s="550">
        <v>9.7610078240578275</v>
      </c>
      <c r="M13" s="550">
        <v>8.4076462781438437</v>
      </c>
      <c r="N13" s="550">
        <v>7.9852896206524662</v>
      </c>
      <c r="O13" s="550">
        <v>5.9023564854937831</v>
      </c>
      <c r="P13" s="550">
        <v>4.9308879336264226</v>
      </c>
      <c r="Q13" s="550">
        <v>4.770608370810379</v>
      </c>
      <c r="R13" s="600">
        <v>4.429078974620424</v>
      </c>
    </row>
    <row r="14" spans="2:39" ht="16.5" customHeight="1">
      <c r="C14" s="1242"/>
      <c r="D14" s="1238" t="s">
        <v>634</v>
      </c>
      <c r="E14" s="1239"/>
      <c r="F14" s="677">
        <v>13.348658500541859</v>
      </c>
      <c r="G14" s="677">
        <v>14.973550390771649</v>
      </c>
      <c r="H14" s="677">
        <v>13.804661623242524</v>
      </c>
      <c r="I14" s="677">
        <v>13.478163756265999</v>
      </c>
      <c r="J14" s="677">
        <v>13.101471744664039</v>
      </c>
      <c r="K14" s="677">
        <v>12.660452061202832</v>
      </c>
      <c r="L14" s="677">
        <v>15.58749371548241</v>
      </c>
      <c r="M14" s="677">
        <v>14.766452963496008</v>
      </c>
      <c r="N14" s="677">
        <v>13.949824992762856</v>
      </c>
      <c r="O14" s="677">
        <v>12.962401047808171</v>
      </c>
      <c r="P14" s="677">
        <v>10.725624118671178</v>
      </c>
      <c r="Q14" s="677">
        <v>10.499210897915106</v>
      </c>
      <c r="R14" s="678">
        <v>8.0207187599946934</v>
      </c>
    </row>
    <row r="15" spans="2:39" ht="16.5" customHeight="1">
      <c r="C15" s="1242"/>
      <c r="D15" s="679"/>
      <c r="E15" s="679" t="s">
        <v>576</v>
      </c>
      <c r="F15" s="550">
        <v>14.902430696481844</v>
      </c>
      <c r="G15" s="550">
        <v>16.014775292427657</v>
      </c>
      <c r="H15" s="550">
        <v>14.230539632764902</v>
      </c>
      <c r="I15" s="550">
        <v>13.956962449627994</v>
      </c>
      <c r="J15" s="550">
        <v>13.659927423535507</v>
      </c>
      <c r="K15" s="550">
        <v>12.556866460631483</v>
      </c>
      <c r="L15" s="550">
        <v>15.065774255889082</v>
      </c>
      <c r="M15" s="550">
        <v>14.890934308410039</v>
      </c>
      <c r="N15" s="550">
        <v>13.987565615576486</v>
      </c>
      <c r="O15" s="550">
        <v>13.254067293457453</v>
      </c>
      <c r="P15" s="550">
        <v>11.057285960244172</v>
      </c>
      <c r="Q15" s="550">
        <v>10.274635250058523</v>
      </c>
      <c r="R15" s="600">
        <v>8.0106654300950595</v>
      </c>
    </row>
    <row r="16" spans="2:39" ht="16.5" customHeight="1">
      <c r="C16" s="1242"/>
      <c r="D16" s="679"/>
      <c r="E16" s="679" t="s">
        <v>577</v>
      </c>
      <c r="F16" s="550">
        <v>11.733104690964382</v>
      </c>
      <c r="G16" s="550">
        <v>13.936793352404308</v>
      </c>
      <c r="H16" s="550">
        <v>13.376872950049844</v>
      </c>
      <c r="I16" s="550">
        <v>12.99458313707018</v>
      </c>
      <c r="J16" s="550">
        <v>12.535730094304938</v>
      </c>
      <c r="K16" s="550">
        <v>12.76646503824783</v>
      </c>
      <c r="L16" s="550">
        <v>16.123199509653702</v>
      </c>
      <c r="M16" s="550">
        <v>14.639955380696122</v>
      </c>
      <c r="N16" s="550">
        <v>13.911333191579843</v>
      </c>
      <c r="O16" s="550">
        <v>12.675884753609068</v>
      </c>
      <c r="P16" s="550">
        <v>10.389538295611345</v>
      </c>
      <c r="Q16" s="550">
        <v>10.730130205617371</v>
      </c>
      <c r="R16" s="600">
        <v>8.030961605089928</v>
      </c>
    </row>
    <row r="17" spans="3:18" ht="16.5" customHeight="1">
      <c r="C17" s="1242"/>
      <c r="D17" s="1238" t="s">
        <v>635</v>
      </c>
      <c r="E17" s="1239"/>
      <c r="F17" s="677">
        <v>18.415572193310624</v>
      </c>
      <c r="G17" s="677">
        <v>20.37525490909438</v>
      </c>
      <c r="H17" s="677">
        <v>18.366682539528284</v>
      </c>
      <c r="I17" s="677">
        <v>17.653047475034811</v>
      </c>
      <c r="J17" s="677">
        <v>17.192893610864218</v>
      </c>
      <c r="K17" s="677">
        <v>18.217673489765346</v>
      </c>
      <c r="L17" s="677">
        <v>19.193359888716856</v>
      </c>
      <c r="M17" s="677">
        <v>19.148273676669149</v>
      </c>
      <c r="N17" s="677">
        <v>17.791989847461437</v>
      </c>
      <c r="O17" s="677">
        <v>19.668817252941736</v>
      </c>
      <c r="P17" s="677">
        <v>19.174334948337332</v>
      </c>
      <c r="Q17" s="677">
        <v>18.400751959153936</v>
      </c>
      <c r="R17" s="678">
        <v>13.962212334310109</v>
      </c>
    </row>
    <row r="18" spans="3:18" ht="16.5" customHeight="1">
      <c r="C18" s="1242"/>
      <c r="D18" s="679"/>
      <c r="E18" s="679" t="s">
        <v>434</v>
      </c>
      <c r="F18" s="550">
        <v>21.337279873295302</v>
      </c>
      <c r="G18" s="550">
        <v>22.169321898107412</v>
      </c>
      <c r="H18" s="550">
        <v>21.664057618532524</v>
      </c>
      <c r="I18" s="550">
        <v>20.807819941405981</v>
      </c>
      <c r="J18" s="550">
        <v>20.123005127614221</v>
      </c>
      <c r="K18" s="550">
        <v>21.236480774276302</v>
      </c>
      <c r="L18" s="550">
        <v>22.312183670875669</v>
      </c>
      <c r="M18" s="550">
        <v>24.412642534629214</v>
      </c>
      <c r="N18" s="550">
        <v>22.785097849438714</v>
      </c>
      <c r="O18" s="550">
        <v>22.292414738441821</v>
      </c>
      <c r="P18" s="550">
        <v>21.198497441509659</v>
      </c>
      <c r="Q18" s="550">
        <v>20.714187359434518</v>
      </c>
      <c r="R18" s="600">
        <v>17.016265079415604</v>
      </c>
    </row>
    <row r="19" spans="3:18" ht="16.5" customHeight="1">
      <c r="C19" s="1242"/>
      <c r="D19" s="679"/>
      <c r="E19" s="679" t="s">
        <v>435</v>
      </c>
      <c r="F19" s="550">
        <v>18.207456272988765</v>
      </c>
      <c r="G19" s="550">
        <v>19.084939175368717</v>
      </c>
      <c r="H19" s="550">
        <v>16.798041543464308</v>
      </c>
      <c r="I19" s="550">
        <v>16.384142225458305</v>
      </c>
      <c r="J19" s="550">
        <v>16.251893359703033</v>
      </c>
      <c r="K19" s="550">
        <v>17.22785013667793</v>
      </c>
      <c r="L19" s="550">
        <v>18.041034702792913</v>
      </c>
      <c r="M19" s="550">
        <v>17.011469252198069</v>
      </c>
      <c r="N19" s="550">
        <v>16.390289083233895</v>
      </c>
      <c r="O19" s="550">
        <v>16.139735750630692</v>
      </c>
      <c r="P19" s="550">
        <v>14.954221770091564</v>
      </c>
      <c r="Q19" s="550">
        <v>14.174720321165609</v>
      </c>
      <c r="R19" s="600">
        <v>11.025453881945083</v>
      </c>
    </row>
    <row r="20" spans="3:18" ht="16.5" customHeight="1">
      <c r="C20" s="1243"/>
      <c r="D20" s="679"/>
      <c r="E20" s="679" t="s">
        <v>436</v>
      </c>
      <c r="F20" s="550">
        <v>15.254453882582879</v>
      </c>
      <c r="G20" s="550">
        <v>19.63497460038198</v>
      </c>
      <c r="H20" s="550">
        <v>16.17982476837652</v>
      </c>
      <c r="I20" s="550">
        <v>15.353690667819876</v>
      </c>
      <c r="J20" s="550">
        <v>14.816532374934781</v>
      </c>
      <c r="K20" s="550">
        <v>15.770982870782831</v>
      </c>
      <c r="L20" s="550">
        <v>16.743505629931732</v>
      </c>
      <c r="M20" s="550">
        <v>15.311038747859413</v>
      </c>
      <c r="N20" s="550">
        <v>13.060099412562138</v>
      </c>
      <c r="O20" s="550">
        <v>20.25884349428965</v>
      </c>
      <c r="P20" s="550">
        <v>21.057173870491312</v>
      </c>
      <c r="Q20" s="550">
        <v>20.042721086033552</v>
      </c>
      <c r="R20" s="600">
        <v>13.383736904572771</v>
      </c>
    </row>
    <row r="21" spans="3:18" ht="18" customHeight="1">
      <c r="C21" s="1247" t="s">
        <v>737</v>
      </c>
      <c r="D21" s="1248"/>
      <c r="E21" s="1249"/>
      <c r="F21" s="675">
        <v>33.129285325019325</v>
      </c>
      <c r="G21" s="675">
        <v>35.730220461920212</v>
      </c>
      <c r="H21" s="675">
        <v>35.601376779411424</v>
      </c>
      <c r="I21" s="675">
        <v>36.026412837336231</v>
      </c>
      <c r="J21" s="675">
        <v>36.752221155834249</v>
      </c>
      <c r="K21" s="675">
        <v>39.359309504097205</v>
      </c>
      <c r="L21" s="675">
        <v>37.351642163199813</v>
      </c>
      <c r="M21" s="675">
        <v>33.669276514359154</v>
      </c>
      <c r="N21" s="675">
        <v>33.777791185254458</v>
      </c>
      <c r="O21" s="675">
        <v>32.109977559448595</v>
      </c>
      <c r="P21" s="675">
        <v>31.074669281393341</v>
      </c>
      <c r="Q21" s="675">
        <v>24.841004341764247</v>
      </c>
      <c r="R21" s="680">
        <v>20.999689033706034</v>
      </c>
    </row>
    <row r="22" spans="3:18" ht="16.5" customHeight="1">
      <c r="C22" s="1240" t="s">
        <v>799</v>
      </c>
      <c r="D22" s="681"/>
      <c r="E22" s="679" t="s">
        <v>757</v>
      </c>
      <c r="F22" s="550">
        <v>30.372643956424</v>
      </c>
      <c r="G22" s="550">
        <v>32.864901534663034</v>
      </c>
      <c r="H22" s="550">
        <v>33.056779880736315</v>
      </c>
      <c r="I22" s="550">
        <v>33.853903309852356</v>
      </c>
      <c r="J22" s="550">
        <v>34.899910589135601</v>
      </c>
      <c r="K22" s="550">
        <v>37.377713458755423</v>
      </c>
      <c r="L22" s="550">
        <v>35.170945701700745</v>
      </c>
      <c r="M22" s="550">
        <v>31.547131674862328</v>
      </c>
      <c r="N22" s="550">
        <v>31.36779346525887</v>
      </c>
      <c r="O22" s="550">
        <v>28.68561926572049</v>
      </c>
      <c r="P22" s="550">
        <v>29.824896529767585</v>
      </c>
      <c r="Q22" s="550">
        <v>23.919131938599037</v>
      </c>
      <c r="R22" s="600">
        <v>20.332694581481633</v>
      </c>
    </row>
    <row r="23" spans="3:18" ht="16.5" customHeight="1">
      <c r="C23" s="1241"/>
      <c r="D23" s="681"/>
      <c r="E23" s="679" t="s">
        <v>746</v>
      </c>
      <c r="F23" s="550">
        <v>40.694253309922644</v>
      </c>
      <c r="G23" s="550">
        <v>44.616231423154552</v>
      </c>
      <c r="H23" s="550">
        <v>43.946631320962339</v>
      </c>
      <c r="I23" s="550">
        <v>43.669373455365147</v>
      </c>
      <c r="J23" s="550">
        <v>43.736933541415155</v>
      </c>
      <c r="K23" s="550">
        <v>46.738728750923876</v>
      </c>
      <c r="L23" s="550">
        <v>45.738363311822049</v>
      </c>
      <c r="M23" s="550">
        <v>42.072888295999853</v>
      </c>
      <c r="N23" s="550">
        <v>43.460737937559124</v>
      </c>
      <c r="O23" s="550">
        <v>43.951979016040625</v>
      </c>
      <c r="P23" s="550">
        <v>35.584360879221876</v>
      </c>
      <c r="Q23" s="550">
        <v>29.061186361513307</v>
      </c>
      <c r="R23" s="600">
        <v>26.097456471779694</v>
      </c>
    </row>
    <row r="24" spans="3:18" ht="16.5" customHeight="1">
      <c r="C24" s="1241"/>
      <c r="D24" s="1238" t="s">
        <v>437</v>
      </c>
      <c r="E24" s="1239"/>
      <c r="F24" s="677">
        <v>39.652003513750934</v>
      </c>
      <c r="G24" s="677">
        <v>38.487034509651011</v>
      </c>
      <c r="H24" s="677">
        <v>35.817594265705949</v>
      </c>
      <c r="I24" s="677">
        <v>36.163773368202946</v>
      </c>
      <c r="J24" s="677">
        <v>36.916016447048918</v>
      </c>
      <c r="K24" s="677">
        <v>39.433157461970666</v>
      </c>
      <c r="L24" s="677">
        <v>38.866425992779781</v>
      </c>
      <c r="M24" s="677">
        <v>34.800724976176696</v>
      </c>
      <c r="N24" s="677">
        <v>33.4367062718201</v>
      </c>
      <c r="O24" s="677">
        <v>29.485624527776679</v>
      </c>
      <c r="P24" s="677">
        <v>25.938913092244292</v>
      </c>
      <c r="Q24" s="677">
        <v>20.344768523049822</v>
      </c>
      <c r="R24" s="678">
        <v>18.468445356593122</v>
      </c>
    </row>
    <row r="25" spans="3:18" ht="16.5" customHeight="1">
      <c r="C25" s="1241"/>
      <c r="D25" s="679"/>
      <c r="E25" s="679" t="s">
        <v>757</v>
      </c>
      <c r="F25" s="550">
        <v>36.137707023209266</v>
      </c>
      <c r="G25" s="550">
        <v>35.047003525264401</v>
      </c>
      <c r="H25" s="550">
        <v>32.512547681188522</v>
      </c>
      <c r="I25" s="550">
        <v>33.243265457085911</v>
      </c>
      <c r="J25" s="550">
        <v>34.394985253855666</v>
      </c>
      <c r="K25" s="550">
        <v>36.144700971686483</v>
      </c>
      <c r="L25" s="550">
        <v>35.513187086976643</v>
      </c>
      <c r="M25" s="550">
        <v>31.534139075253705</v>
      </c>
      <c r="N25" s="550">
        <v>29.554003884640906</v>
      </c>
      <c r="O25" s="550">
        <v>21.999657836959301</v>
      </c>
      <c r="P25" s="550">
        <v>21.150492089198963</v>
      </c>
      <c r="Q25" s="550">
        <v>17.804275714932842</v>
      </c>
      <c r="R25" s="600">
        <v>17.589999034123053</v>
      </c>
    </row>
    <row r="26" spans="3:18" ht="16.5" customHeight="1">
      <c r="C26" s="1241"/>
      <c r="D26" s="679"/>
      <c r="E26" s="679" t="s">
        <v>746</v>
      </c>
      <c r="F26" s="550">
        <v>48.495865412033076</v>
      </c>
      <c r="G26" s="550">
        <v>48.017748372190717</v>
      </c>
      <c r="H26" s="550">
        <v>45.572245430035849</v>
      </c>
      <c r="I26" s="550">
        <v>45.180321629079835</v>
      </c>
      <c r="J26" s="550">
        <v>45.154938335578819</v>
      </c>
      <c r="K26" s="550">
        <v>49.68781967617906</v>
      </c>
      <c r="L26" s="550">
        <v>49.526647305095615</v>
      </c>
      <c r="M26" s="550">
        <v>45.826520601700459</v>
      </c>
      <c r="N26" s="550">
        <v>46.721345951629864</v>
      </c>
      <c r="O26" s="550">
        <v>46.731918807068254</v>
      </c>
      <c r="P26" s="550">
        <v>40.951032563589315</v>
      </c>
      <c r="Q26" s="550">
        <v>33.413515748327455</v>
      </c>
      <c r="R26" s="600">
        <v>30.071077091306734</v>
      </c>
    </row>
    <row r="27" spans="3:18" ht="16.5" customHeight="1">
      <c r="C27" s="1241"/>
      <c r="D27" s="1238" t="s">
        <v>438</v>
      </c>
      <c r="E27" s="1239"/>
      <c r="F27" s="677">
        <v>19.155437505398638</v>
      </c>
      <c r="G27" s="677">
        <v>19.534008712185994</v>
      </c>
      <c r="H27" s="677">
        <v>20.442598611612695</v>
      </c>
      <c r="I27" s="677">
        <v>20.34359941336686</v>
      </c>
      <c r="J27" s="677">
        <v>20.810023630268731</v>
      </c>
      <c r="K27" s="677">
        <v>24.397888115030327</v>
      </c>
      <c r="L27" s="677">
        <v>21.945892719629356</v>
      </c>
      <c r="M27" s="677">
        <v>19.153026691773874</v>
      </c>
      <c r="N27" s="677">
        <v>17.829569327731093</v>
      </c>
      <c r="O27" s="677">
        <v>15.872151094161453</v>
      </c>
      <c r="P27" s="677">
        <v>18.617204865185755</v>
      </c>
      <c r="Q27" s="677">
        <v>16.027865045758773</v>
      </c>
      <c r="R27" s="678">
        <v>11.920751713834946</v>
      </c>
    </row>
    <row r="28" spans="3:18" ht="16.5" customHeight="1">
      <c r="C28" s="1241"/>
      <c r="D28" s="679"/>
      <c r="E28" s="679" t="s">
        <v>757</v>
      </c>
      <c r="F28" s="550">
        <v>17.372502666705103</v>
      </c>
      <c r="G28" s="550">
        <v>17.629028032486247</v>
      </c>
      <c r="H28" s="550">
        <v>18.179332612912887</v>
      </c>
      <c r="I28" s="550">
        <v>18.470581962624294</v>
      </c>
      <c r="J28" s="550">
        <v>19.261450830211118</v>
      </c>
      <c r="K28" s="550">
        <v>22.909111276026721</v>
      </c>
      <c r="L28" s="550">
        <v>20.147798742138363</v>
      </c>
      <c r="M28" s="550">
        <v>17.884118627995946</v>
      </c>
      <c r="N28" s="550">
        <v>15.356289483159301</v>
      </c>
      <c r="O28" s="550">
        <v>13.722104993925441</v>
      </c>
      <c r="P28" s="550">
        <v>17.858680829684928</v>
      </c>
      <c r="Q28" s="550">
        <v>16.132892829450824</v>
      </c>
      <c r="R28" s="600">
        <v>11.774101720647778</v>
      </c>
    </row>
    <row r="29" spans="3:18" ht="16.5" customHeight="1">
      <c r="C29" s="1241"/>
      <c r="D29" s="679"/>
      <c r="E29" s="679" t="s">
        <v>746</v>
      </c>
      <c r="F29" s="550">
        <v>24.477239480251271</v>
      </c>
      <c r="G29" s="550">
        <v>25.84016304583497</v>
      </c>
      <c r="H29" s="550">
        <v>28.041264151768146</v>
      </c>
      <c r="I29" s="550">
        <v>27.21890595948723</v>
      </c>
      <c r="J29" s="550">
        <v>26.814624209284872</v>
      </c>
      <c r="K29" s="550">
        <v>30.437993523831167</v>
      </c>
      <c r="L29" s="550">
        <v>29.270479728431425</v>
      </c>
      <c r="M29" s="550">
        <v>24.406091370558386</v>
      </c>
      <c r="N29" s="550">
        <v>27.865586399256216</v>
      </c>
      <c r="O29" s="550">
        <v>25.125558995528039</v>
      </c>
      <c r="P29" s="550">
        <v>21.148434225495478</v>
      </c>
      <c r="Q29" s="550">
        <v>15.579083837510794</v>
      </c>
      <c r="R29" s="600">
        <v>13.025861041592179</v>
      </c>
    </row>
    <row r="30" spans="3:18" ht="16.5" customHeight="1">
      <c r="C30" s="1241"/>
      <c r="D30" s="1238" t="s">
        <v>578</v>
      </c>
      <c r="E30" s="1239"/>
      <c r="F30" s="677">
        <v>37.514332186758395</v>
      </c>
      <c r="G30" s="677">
        <v>48.885493536187596</v>
      </c>
      <c r="H30" s="677">
        <v>49.176214156844431</v>
      </c>
      <c r="I30" s="677">
        <v>49.674342226650424</v>
      </c>
      <c r="J30" s="677">
        <v>49.81280248379143</v>
      </c>
      <c r="K30" s="677">
        <v>52.457880461681619</v>
      </c>
      <c r="L30" s="677">
        <v>48.751191404557659</v>
      </c>
      <c r="M30" s="677">
        <v>45.251106521097675</v>
      </c>
      <c r="N30" s="677">
        <v>48.680149205706044</v>
      </c>
      <c r="O30" s="677">
        <v>49.439782315413993</v>
      </c>
      <c r="P30" s="677">
        <v>47.079802767006562</v>
      </c>
      <c r="Q30" s="677">
        <v>36.911927720895868</v>
      </c>
      <c r="R30" s="678">
        <v>32.722042430780292</v>
      </c>
    </row>
    <row r="31" spans="3:18" ht="16.5" customHeight="1">
      <c r="C31" s="1241"/>
      <c r="D31" s="679"/>
      <c r="E31" s="679" t="s">
        <v>757</v>
      </c>
      <c r="F31" s="550">
        <v>35.571020699500352</v>
      </c>
      <c r="G31" s="550">
        <v>45.879431337807105</v>
      </c>
      <c r="H31" s="550">
        <v>46.998800218989153</v>
      </c>
      <c r="I31" s="550">
        <v>47.847645844624587</v>
      </c>
      <c r="J31" s="550">
        <v>48.118041462512195</v>
      </c>
      <c r="K31" s="550">
        <v>51.303181762769718</v>
      </c>
      <c r="L31" s="550">
        <v>47.332983331145819</v>
      </c>
      <c r="M31" s="550">
        <v>43.502736066065637</v>
      </c>
      <c r="N31" s="550">
        <v>47.476178212722118</v>
      </c>
      <c r="O31" s="550">
        <v>47.939648911241136</v>
      </c>
      <c r="P31" s="550">
        <v>47.689455861746843</v>
      </c>
      <c r="Q31" s="550">
        <v>36.815891245751786</v>
      </c>
      <c r="R31" s="600">
        <v>32.561021962948885</v>
      </c>
    </row>
    <row r="32" spans="3:18" ht="16.5" customHeight="1">
      <c r="C32" s="1244"/>
      <c r="D32" s="682"/>
      <c r="E32" s="682" t="s">
        <v>746</v>
      </c>
      <c r="F32" s="683">
        <v>43.256353474638829</v>
      </c>
      <c r="G32" s="683">
        <v>59.341939240997768</v>
      </c>
      <c r="H32" s="683">
        <v>57.184474338102994</v>
      </c>
      <c r="I32" s="683">
        <v>56.982054712367948</v>
      </c>
      <c r="J32" s="683">
        <v>57.251119531519116</v>
      </c>
      <c r="K32" s="683">
        <v>57.445240101095195</v>
      </c>
      <c r="L32" s="683">
        <v>55.44677159499318</v>
      </c>
      <c r="M32" s="683">
        <v>53.556400162888558</v>
      </c>
      <c r="N32" s="683">
        <v>54.683598487550832</v>
      </c>
      <c r="O32" s="683">
        <v>56.993031118470988</v>
      </c>
      <c r="P32" s="683">
        <v>44.303376761499599</v>
      </c>
      <c r="Q32" s="683">
        <v>37.331286381372742</v>
      </c>
      <c r="R32" s="684">
        <v>33.548113607460778</v>
      </c>
    </row>
    <row r="35" spans="3:3">
      <c r="C35" s="2" t="s">
        <v>801</v>
      </c>
    </row>
    <row r="36" spans="3:3">
      <c r="C36" s="2"/>
    </row>
    <row r="37" spans="3:3">
      <c r="C37" s="2" t="s">
        <v>725</v>
      </c>
    </row>
  </sheetData>
  <mergeCells count="24">
    <mergeCell ref="P6:P7"/>
    <mergeCell ref="Q6:Q7"/>
    <mergeCell ref="R6:R7"/>
    <mergeCell ref="C1:AM1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C8:E8"/>
    <mergeCell ref="D9:E9"/>
    <mergeCell ref="D14:E14"/>
    <mergeCell ref="D17:E17"/>
    <mergeCell ref="C21:E21"/>
    <mergeCell ref="D24:E24"/>
    <mergeCell ref="D27:E27"/>
    <mergeCell ref="D30:E30"/>
    <mergeCell ref="C9:C20"/>
    <mergeCell ref="C22:C3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B1:AM33"/>
  <sheetViews>
    <sheetView workbookViewId="0"/>
  </sheetViews>
  <sheetFormatPr defaultRowHeight="15"/>
  <cols>
    <col min="1" max="1" width="2.28515625" customWidth="1"/>
    <col min="2" max="2" width="5.7109375" customWidth="1"/>
    <col min="5" max="5" width="13.57031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92</v>
      </c>
    </row>
    <row r="5" spans="2:39">
      <c r="C5" s="647" t="s">
        <v>791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</row>
    <row r="6" spans="2:39">
      <c r="C6" s="649"/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38" t="s">
        <v>332</v>
      </c>
    </row>
    <row r="7" spans="2:39" ht="25.5" customHeight="1">
      <c r="C7" s="1258" t="s">
        <v>792</v>
      </c>
      <c r="D7" s="1259"/>
      <c r="E7" s="1260"/>
      <c r="F7" s="650" t="s">
        <v>680</v>
      </c>
      <c r="G7" s="650" t="s">
        <v>714</v>
      </c>
      <c r="H7" s="650" t="s">
        <v>715</v>
      </c>
      <c r="I7" s="650" t="s">
        <v>716</v>
      </c>
      <c r="J7" s="650" t="s">
        <v>446</v>
      </c>
      <c r="K7" s="650" t="s">
        <v>447</v>
      </c>
      <c r="L7" s="650" t="s">
        <v>448</v>
      </c>
      <c r="M7" s="650" t="s">
        <v>449</v>
      </c>
      <c r="N7" s="651" t="s">
        <v>450</v>
      </c>
      <c r="O7" s="651" t="s">
        <v>451</v>
      </c>
      <c r="P7" s="651" t="s">
        <v>452</v>
      </c>
      <c r="Q7" s="651" t="s">
        <v>453</v>
      </c>
    </row>
    <row r="8" spans="2:39">
      <c r="C8" s="89"/>
      <c r="D8" s="89"/>
      <c r="E8" s="652" t="s">
        <v>793</v>
      </c>
      <c r="F8" s="653">
        <v>0.27282659439994916</v>
      </c>
      <c r="G8" s="653">
        <v>0.25078263780814236</v>
      </c>
      <c r="H8" s="653">
        <v>0.25665755366817916</v>
      </c>
      <c r="I8" s="653">
        <v>0.26865711312858076</v>
      </c>
      <c r="J8" s="653">
        <v>0.31554827008366365</v>
      </c>
      <c r="K8" s="653"/>
      <c r="L8" s="653"/>
      <c r="M8" s="653"/>
      <c r="N8" s="654"/>
      <c r="O8" s="654"/>
      <c r="P8" s="654"/>
      <c r="Q8" s="654"/>
    </row>
    <row r="9" spans="2:39">
      <c r="C9" s="89"/>
      <c r="D9" s="89"/>
      <c r="E9" s="662" t="s">
        <v>794</v>
      </c>
      <c r="F9" s="663">
        <v>27.282659439994916</v>
      </c>
      <c r="G9" s="663">
        <v>25.078263780814236</v>
      </c>
      <c r="H9" s="663">
        <v>25.665755366817915</v>
      </c>
      <c r="I9" s="663">
        <v>26.865711312858075</v>
      </c>
      <c r="J9" s="664">
        <v>31.554827008366367</v>
      </c>
      <c r="K9" s="654"/>
      <c r="L9" s="654"/>
      <c r="M9" s="654"/>
      <c r="N9" s="654"/>
      <c r="O9" s="654"/>
      <c r="P9" s="654"/>
      <c r="Q9" s="654"/>
    </row>
    <row r="10" spans="2:39" s="453" customFormat="1" ht="4.5" customHeight="1">
      <c r="C10" s="89"/>
      <c r="D10" s="89"/>
      <c r="E10" s="655"/>
      <c r="F10" s="656"/>
      <c r="G10" s="656"/>
      <c r="H10" s="656"/>
      <c r="I10" s="656"/>
      <c r="J10" s="656"/>
      <c r="K10" s="654"/>
      <c r="L10" s="654"/>
      <c r="M10" s="654"/>
      <c r="N10" s="654"/>
      <c r="O10" s="654"/>
      <c r="P10" s="654"/>
      <c r="Q10" s="654"/>
    </row>
    <row r="11" spans="2:39">
      <c r="C11" s="1261" t="s">
        <v>795</v>
      </c>
      <c r="D11" s="1170"/>
      <c r="E11" s="657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</row>
    <row r="12" spans="2:39">
      <c r="C12" s="652"/>
      <c r="D12" s="652"/>
      <c r="E12" s="652" t="s">
        <v>793</v>
      </c>
      <c r="F12" s="659">
        <v>0.64625020132355915</v>
      </c>
      <c r="G12" s="659">
        <v>0.67848692600517868</v>
      </c>
      <c r="H12" s="659">
        <v>0.69254287090599842</v>
      </c>
      <c r="I12" s="659">
        <v>0.69390874281743264</v>
      </c>
      <c r="J12" s="659">
        <v>0.7171684920842859</v>
      </c>
      <c r="K12" s="659">
        <v>0.72392327112120669</v>
      </c>
      <c r="L12" s="659">
        <v>0.76394902486348515</v>
      </c>
      <c r="M12" s="659">
        <v>0.79706007719338046</v>
      </c>
      <c r="N12" s="659">
        <v>0.81983559290745966</v>
      </c>
      <c r="O12" s="659">
        <v>0.84220835607829403</v>
      </c>
      <c r="P12" s="654"/>
      <c r="Q12" s="654"/>
    </row>
    <row r="13" spans="2:39">
      <c r="C13" s="655"/>
      <c r="D13" s="655"/>
      <c r="E13" s="662" t="s">
        <v>794</v>
      </c>
      <c r="F13" s="663">
        <v>64.625020132355914</v>
      </c>
      <c r="G13" s="663">
        <v>67.848692600517865</v>
      </c>
      <c r="H13" s="663">
        <v>69.254287090599846</v>
      </c>
      <c r="I13" s="663">
        <v>69.390874281743265</v>
      </c>
      <c r="J13" s="663">
        <v>71.716849208428584</v>
      </c>
      <c r="K13" s="663">
        <v>72.392327112120668</v>
      </c>
      <c r="L13" s="663">
        <v>76.394902486348514</v>
      </c>
      <c r="M13" s="663">
        <v>79.706007719338047</v>
      </c>
      <c r="N13" s="663">
        <v>81.983559290745973</v>
      </c>
      <c r="O13" s="664">
        <v>84.2208356078294</v>
      </c>
      <c r="P13" s="660"/>
      <c r="Q13" s="660"/>
    </row>
    <row r="14" spans="2:39" s="453" customFormat="1" ht="4.5" customHeight="1">
      <c r="C14" s="655"/>
      <c r="D14" s="655"/>
      <c r="E14" s="452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60"/>
      <c r="Q14" s="660"/>
    </row>
    <row r="15" spans="2:39">
      <c r="C15" s="1261" t="s">
        <v>796</v>
      </c>
      <c r="D15" s="1170"/>
      <c r="E15" s="657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</row>
    <row r="16" spans="2:39">
      <c r="C16" s="89"/>
      <c r="D16" s="89"/>
      <c r="E16" s="652" t="s">
        <v>793</v>
      </c>
      <c r="F16" s="653">
        <v>0.73237696921767792</v>
      </c>
      <c r="G16" s="653">
        <v>0.72750627901626519</v>
      </c>
      <c r="H16" s="653">
        <v>0.74624076533598271</v>
      </c>
      <c r="I16" s="653">
        <v>0.7525691459811592</v>
      </c>
      <c r="J16" s="653">
        <v>0.7531749739699235</v>
      </c>
      <c r="K16" s="653">
        <v>0.73344502661323219</v>
      </c>
      <c r="L16" s="653">
        <v>0.72499892992233361</v>
      </c>
      <c r="M16" s="653">
        <v>0.73269259986992308</v>
      </c>
      <c r="N16" s="653">
        <v>0.7510959732808038</v>
      </c>
      <c r="O16" s="653">
        <v>0.7773343080811107</v>
      </c>
      <c r="P16" s="653">
        <v>0.7939904501488011</v>
      </c>
      <c r="Q16" s="653">
        <v>0.8251955515684678</v>
      </c>
    </row>
    <row r="17" spans="3:17">
      <c r="C17" s="89"/>
      <c r="D17" s="89"/>
      <c r="E17" s="662" t="s">
        <v>794</v>
      </c>
      <c r="F17" s="663">
        <v>73.237696921767792</v>
      </c>
      <c r="G17" s="663">
        <v>72.750627901626515</v>
      </c>
      <c r="H17" s="663">
        <v>74.62407653359827</v>
      </c>
      <c r="I17" s="663">
        <v>75.256914598115927</v>
      </c>
      <c r="J17" s="663">
        <v>75.317497396992351</v>
      </c>
      <c r="K17" s="663">
        <v>73.344502661323219</v>
      </c>
      <c r="L17" s="663">
        <v>72.499892992233356</v>
      </c>
      <c r="M17" s="663">
        <v>73.26925998699231</v>
      </c>
      <c r="N17" s="663">
        <v>75.109597328080383</v>
      </c>
      <c r="O17" s="663">
        <v>77.733430808111066</v>
      </c>
      <c r="P17" s="663">
        <v>79.399045014880116</v>
      </c>
      <c r="Q17" s="664">
        <v>82.519555156846778</v>
      </c>
    </row>
    <row r="18" spans="3:17" s="453" customFormat="1" ht="4.5" customHeight="1">
      <c r="C18" s="89"/>
      <c r="D18" s="89"/>
      <c r="E18" s="452"/>
      <c r="F18" s="656"/>
      <c r="G18" s="656"/>
      <c r="H18" s="656"/>
      <c r="I18" s="656"/>
      <c r="J18" s="656"/>
      <c r="K18" s="656"/>
      <c r="L18" s="656"/>
      <c r="M18" s="656"/>
      <c r="N18" s="656"/>
      <c r="O18" s="656"/>
      <c r="P18" s="656"/>
      <c r="Q18" s="656"/>
    </row>
    <row r="19" spans="3:17">
      <c r="C19" s="1261" t="s">
        <v>797</v>
      </c>
      <c r="D19" s="1170"/>
      <c r="E19" s="657"/>
      <c r="F19" s="661"/>
      <c r="G19" s="661"/>
      <c r="H19" s="661"/>
      <c r="I19" s="661"/>
      <c r="J19" s="661"/>
      <c r="K19" s="661"/>
      <c r="L19" s="661"/>
      <c r="M19" s="661"/>
      <c r="N19" s="661"/>
      <c r="O19" s="661"/>
      <c r="P19" s="661"/>
      <c r="Q19" s="661"/>
    </row>
    <row r="20" spans="3:17">
      <c r="C20" s="89"/>
      <c r="D20" s="89"/>
      <c r="E20" s="652" t="s">
        <v>793</v>
      </c>
      <c r="F20" s="653">
        <v>0.53351531339740099</v>
      </c>
      <c r="G20" s="653">
        <v>0.54814112969261508</v>
      </c>
      <c r="H20" s="653">
        <v>0.55796253267594398</v>
      </c>
      <c r="I20" s="653">
        <v>0.55862327810399137</v>
      </c>
      <c r="J20" s="653">
        <v>0.55045785475092568</v>
      </c>
      <c r="K20" s="653">
        <v>0.5466991335714716</v>
      </c>
      <c r="L20" s="653">
        <v>0.5605187300753488</v>
      </c>
      <c r="M20" s="653">
        <v>0.50395111981132856</v>
      </c>
      <c r="N20" s="653">
        <v>0.51117548997187834</v>
      </c>
      <c r="O20" s="653">
        <v>0.52841383410549347</v>
      </c>
      <c r="P20" s="653">
        <v>0.58579973220314197</v>
      </c>
      <c r="Q20" s="654"/>
    </row>
    <row r="21" spans="3:17">
      <c r="C21" s="89"/>
      <c r="D21" s="89"/>
      <c r="E21" s="662" t="s">
        <v>794</v>
      </c>
      <c r="F21" s="663">
        <v>53.351531339740099</v>
      </c>
      <c r="G21" s="663">
        <v>54.814112969261508</v>
      </c>
      <c r="H21" s="663">
        <v>55.796253267594395</v>
      </c>
      <c r="I21" s="663">
        <v>55.862327810399137</v>
      </c>
      <c r="J21" s="663">
        <v>55.045785475092565</v>
      </c>
      <c r="K21" s="663">
        <v>54.669913357147159</v>
      </c>
      <c r="L21" s="663">
        <v>56.05187300753488</v>
      </c>
      <c r="M21" s="663">
        <v>50.395111981132857</v>
      </c>
      <c r="N21" s="663">
        <v>51.117548997187832</v>
      </c>
      <c r="O21" s="663">
        <v>52.841383410549348</v>
      </c>
      <c r="P21" s="664">
        <v>58.579973220314194</v>
      </c>
      <c r="Q21" s="654"/>
    </row>
    <row r="24" spans="3:17">
      <c r="E24" s="665"/>
      <c r="F24" s="665"/>
      <c r="G24" s="665"/>
      <c r="H24" s="665"/>
      <c r="I24" s="665"/>
      <c r="J24" s="665"/>
      <c r="K24" s="665"/>
      <c r="L24" s="665"/>
      <c r="M24" s="665"/>
      <c r="N24" s="665"/>
      <c r="O24" s="665"/>
      <c r="P24" s="665"/>
      <c r="Q24" s="638" t="s">
        <v>332</v>
      </c>
    </row>
    <row r="25" spans="3:17" ht="25.5" customHeight="1">
      <c r="C25" s="1254" t="s">
        <v>798</v>
      </c>
      <c r="D25" s="1087"/>
      <c r="E25" s="1255"/>
      <c r="F25" s="666" t="s">
        <v>714</v>
      </c>
      <c r="G25" s="666" t="s">
        <v>715</v>
      </c>
      <c r="H25" s="666" t="s">
        <v>716</v>
      </c>
      <c r="I25" s="666" t="s">
        <v>446</v>
      </c>
      <c r="J25" s="666" t="s">
        <v>447</v>
      </c>
      <c r="K25" s="666" t="s">
        <v>448</v>
      </c>
      <c r="L25" s="666" t="s">
        <v>449</v>
      </c>
      <c r="M25" s="666" t="s">
        <v>450</v>
      </c>
      <c r="N25" s="666" t="s">
        <v>451</v>
      </c>
      <c r="O25" s="666" t="s">
        <v>452</v>
      </c>
      <c r="P25" s="666" t="s">
        <v>453</v>
      </c>
      <c r="Q25" s="667" t="s">
        <v>454</v>
      </c>
    </row>
    <row r="26" spans="3:17">
      <c r="C26" s="1256" t="s">
        <v>794</v>
      </c>
      <c r="D26" s="1257"/>
      <c r="E26" s="626" t="s">
        <v>633</v>
      </c>
      <c r="F26" s="668"/>
      <c r="G26" s="668"/>
      <c r="H26" s="548">
        <v>64.625020132355914</v>
      </c>
      <c r="I26" s="548">
        <v>67.848692600517865</v>
      </c>
      <c r="J26" s="548">
        <v>69.254287090599846</v>
      </c>
      <c r="K26" s="548">
        <v>69.390874281743265</v>
      </c>
      <c r="L26" s="548">
        <v>71.716849208428584</v>
      </c>
      <c r="M26" s="548">
        <v>72.392327112120668</v>
      </c>
      <c r="N26" s="548">
        <v>76.394902486348514</v>
      </c>
      <c r="O26" s="548">
        <v>79.706007719338047</v>
      </c>
      <c r="P26" s="548">
        <v>81.983559290745973</v>
      </c>
      <c r="Q26" s="549">
        <v>84.2208356078294</v>
      </c>
    </row>
    <row r="27" spans="3:17">
      <c r="C27" s="1256"/>
      <c r="D27" s="1257"/>
      <c r="E27" s="670" t="s">
        <v>634</v>
      </c>
      <c r="F27" s="669">
        <v>73.237696921767792</v>
      </c>
      <c r="G27" s="669">
        <v>72.750627901626515</v>
      </c>
      <c r="H27" s="669">
        <v>74.62407653359827</v>
      </c>
      <c r="I27" s="669">
        <v>75.256914598115927</v>
      </c>
      <c r="J27" s="669">
        <v>75.317497396992351</v>
      </c>
      <c r="K27" s="669">
        <v>73.344502661323219</v>
      </c>
      <c r="L27" s="669">
        <v>72.499892992233356</v>
      </c>
      <c r="M27" s="669">
        <v>73.26925998699231</v>
      </c>
      <c r="N27" s="669">
        <v>75.109597328080383</v>
      </c>
      <c r="O27" s="669">
        <v>77.733430808111066</v>
      </c>
      <c r="P27" s="669">
        <v>79.399045014880116</v>
      </c>
      <c r="Q27" s="669">
        <v>82.519555156846778</v>
      </c>
    </row>
    <row r="28" spans="3:17">
      <c r="C28" s="1256"/>
      <c r="D28" s="1257"/>
      <c r="E28" s="626" t="s">
        <v>635</v>
      </c>
      <c r="F28" s="548"/>
      <c r="G28" s="548">
        <v>53.351531339740099</v>
      </c>
      <c r="H28" s="548">
        <v>54.814112969261508</v>
      </c>
      <c r="I28" s="548">
        <v>55.796253267594395</v>
      </c>
      <c r="J28" s="548">
        <v>55.862327810399137</v>
      </c>
      <c r="K28" s="548">
        <v>55.045785475092565</v>
      </c>
      <c r="L28" s="548">
        <v>54.669913357147159</v>
      </c>
      <c r="M28" s="548">
        <v>56.05187300753488</v>
      </c>
      <c r="N28" s="548">
        <v>50.395111981132857</v>
      </c>
      <c r="O28" s="548">
        <v>51.117548997187832</v>
      </c>
      <c r="P28" s="548">
        <v>52.841383410549348</v>
      </c>
      <c r="Q28" s="549">
        <v>58.579973220314194</v>
      </c>
    </row>
    <row r="31" spans="3:17">
      <c r="C31" s="2" t="s">
        <v>800</v>
      </c>
    </row>
    <row r="32" spans="3:17">
      <c r="C32" s="2"/>
    </row>
    <row r="33" spans="3:3">
      <c r="C33" s="2" t="s">
        <v>725</v>
      </c>
    </row>
  </sheetData>
  <mergeCells count="7">
    <mergeCell ref="C1:AM1"/>
    <mergeCell ref="C25:E25"/>
    <mergeCell ref="C26:D28"/>
    <mergeCell ref="C7:E7"/>
    <mergeCell ref="C11:D11"/>
    <mergeCell ref="C15:D15"/>
    <mergeCell ref="C19:D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B1:AM7"/>
  <sheetViews>
    <sheetView workbookViewId="0"/>
  </sheetViews>
  <sheetFormatPr defaultRowHeight="15"/>
  <cols>
    <col min="1" max="1" width="2.28515625" customWidth="1"/>
    <col min="2" max="2" width="5.855468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94</v>
      </c>
    </row>
    <row r="7" spans="2:39">
      <c r="M7" s="2" t="s">
        <v>802</v>
      </c>
      <c r="N7" s="685" t="s">
        <v>803</v>
      </c>
    </row>
  </sheetData>
  <mergeCells count="1">
    <mergeCell ref="C1:AM1"/>
  </mergeCells>
  <hyperlinks>
    <hyperlink ref="N7" location="II.1.2.!A1" display="Ver II.1.2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B1:AM78"/>
  <sheetViews>
    <sheetView workbookViewId="0"/>
  </sheetViews>
  <sheetFormatPr defaultRowHeight="15"/>
  <cols>
    <col min="1" max="1" width="2.28515625" customWidth="1"/>
    <col min="2" max="2" width="5.7109375" customWidth="1"/>
    <col min="3" max="3" width="17.140625" customWidth="1"/>
    <col min="7" max="7" width="7.7109375" customWidth="1"/>
    <col min="8" max="8" width="17.1406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96</v>
      </c>
    </row>
    <row r="5" spans="2:39">
      <c r="C5" s="90"/>
      <c r="D5" s="90"/>
      <c r="E5" s="90"/>
      <c r="F5" s="638" t="s">
        <v>332</v>
      </c>
      <c r="G5" s="90"/>
      <c r="H5" s="90"/>
      <c r="I5" s="90"/>
      <c r="J5" s="90"/>
      <c r="K5" s="638" t="s">
        <v>332</v>
      </c>
    </row>
    <row r="6" spans="2:39" ht="15.75" thickBot="1">
      <c r="C6" s="1262" t="s">
        <v>804</v>
      </c>
      <c r="D6" s="1263"/>
      <c r="E6" s="1263"/>
      <c r="F6" s="1263"/>
      <c r="G6" s="90"/>
      <c r="H6" s="1262" t="s">
        <v>805</v>
      </c>
      <c r="I6" s="1263"/>
      <c r="J6" s="1263"/>
      <c r="K6" s="1263"/>
    </row>
    <row r="7" spans="2:39" ht="15.75" thickBot="1">
      <c r="C7" s="1264" t="s">
        <v>762</v>
      </c>
      <c r="D7" s="1266" t="s">
        <v>535</v>
      </c>
      <c r="E7" s="1267"/>
      <c r="F7" s="1267"/>
      <c r="G7" s="90"/>
      <c r="H7" s="1264" t="s">
        <v>762</v>
      </c>
      <c r="I7" s="1266" t="s">
        <v>535</v>
      </c>
      <c r="J7" s="1267"/>
      <c r="K7" s="1267"/>
    </row>
    <row r="8" spans="2:39">
      <c r="C8" s="1265"/>
      <c r="D8" s="686" t="s">
        <v>806</v>
      </c>
      <c r="E8" s="686" t="s">
        <v>807</v>
      </c>
      <c r="F8" s="687" t="s">
        <v>808</v>
      </c>
      <c r="G8" s="90"/>
      <c r="H8" s="1265"/>
      <c r="I8" s="686" t="s">
        <v>806</v>
      </c>
      <c r="J8" s="686" t="s">
        <v>807</v>
      </c>
      <c r="K8" s="687" t="s">
        <v>808</v>
      </c>
    </row>
    <row r="9" spans="2:39">
      <c r="C9" s="688" t="s">
        <v>809</v>
      </c>
      <c r="D9" s="689">
        <v>39.63068181818182</v>
      </c>
      <c r="E9" s="689">
        <v>50.426136363636367</v>
      </c>
      <c r="F9" s="689">
        <v>9.9431818181818219</v>
      </c>
      <c r="G9" s="690"/>
      <c r="H9" s="688" t="s">
        <v>809</v>
      </c>
      <c r="I9" s="689">
        <v>54.513148542999289</v>
      </c>
      <c r="J9" s="689">
        <v>38.095238095238095</v>
      </c>
      <c r="K9" s="689">
        <v>7.3916133617626159</v>
      </c>
    </row>
    <row r="10" spans="2:39">
      <c r="C10" s="688" t="s">
        <v>764</v>
      </c>
      <c r="D10" s="689">
        <v>42.96731546088872</v>
      </c>
      <c r="E10" s="689">
        <v>48.0719794344473</v>
      </c>
      <c r="F10" s="689">
        <v>8.9607051046639707</v>
      </c>
      <c r="G10" s="690"/>
      <c r="H10" s="688" t="s">
        <v>764</v>
      </c>
      <c r="I10" s="689">
        <v>56.80147058823529</v>
      </c>
      <c r="J10" s="689">
        <v>35.625</v>
      </c>
      <c r="K10" s="689">
        <v>7.5735294117647056</v>
      </c>
    </row>
    <row r="11" spans="2:39">
      <c r="C11" s="688" t="s">
        <v>765</v>
      </c>
      <c r="D11" s="689">
        <v>39.394838326905969</v>
      </c>
      <c r="E11" s="689">
        <v>51.379412637199643</v>
      </c>
      <c r="F11" s="689">
        <v>9.2257490358943901</v>
      </c>
      <c r="G11" s="690"/>
      <c r="H11" s="688" t="s">
        <v>765</v>
      </c>
      <c r="I11" s="689">
        <v>56.211088052179079</v>
      </c>
      <c r="J11" s="689">
        <v>37.533353098132224</v>
      </c>
      <c r="K11" s="689">
        <v>6.2555588496887049</v>
      </c>
    </row>
    <row r="12" spans="2:39">
      <c r="C12" s="688" t="s">
        <v>766</v>
      </c>
      <c r="D12" s="689">
        <v>42.66964168526053</v>
      </c>
      <c r="E12" s="689">
        <v>47.55217220107626</v>
      </c>
      <c r="F12" s="689">
        <v>9.7781861136632084</v>
      </c>
      <c r="G12" s="690"/>
      <c r="H12" s="688" t="s">
        <v>766</v>
      </c>
      <c r="I12" s="689">
        <v>55.204923399240542</v>
      </c>
      <c r="J12" s="689">
        <v>36.03509231373576</v>
      </c>
      <c r="K12" s="689">
        <v>8.7599842870237001</v>
      </c>
    </row>
    <row r="13" spans="2:39">
      <c r="C13" s="688" t="s">
        <v>767</v>
      </c>
      <c r="D13" s="689">
        <v>35.763446342085146</v>
      </c>
      <c r="E13" s="689">
        <v>52.536324241651798</v>
      </c>
      <c r="F13" s="689">
        <v>11.700229416263065</v>
      </c>
      <c r="G13" s="690"/>
      <c r="H13" s="688" t="s">
        <v>767</v>
      </c>
      <c r="I13" s="689">
        <v>51.924547540147842</v>
      </c>
      <c r="J13" s="689">
        <v>39.179199592148869</v>
      </c>
      <c r="K13" s="689">
        <v>8.8962528677032893</v>
      </c>
    </row>
    <row r="14" spans="2:39">
      <c r="C14" s="688" t="s">
        <v>810</v>
      </c>
      <c r="D14" s="689">
        <v>44.337811900191937</v>
      </c>
      <c r="E14" s="689">
        <v>48.68841970569418</v>
      </c>
      <c r="F14" s="689">
        <v>6.9737683941138844</v>
      </c>
      <c r="G14" s="690"/>
      <c r="H14" s="688" t="s">
        <v>810</v>
      </c>
      <c r="I14" s="689">
        <v>59.015345268542205</v>
      </c>
      <c r="J14" s="689">
        <v>35.933503836317136</v>
      </c>
      <c r="K14" s="689">
        <v>5.0511508951406645</v>
      </c>
    </row>
    <row r="15" spans="2:39">
      <c r="C15" s="688" t="s">
        <v>769</v>
      </c>
      <c r="D15" s="689">
        <v>43.225190839694655</v>
      </c>
      <c r="E15" s="689">
        <v>45.992366412213741</v>
      </c>
      <c r="F15" s="689">
        <v>10.782442748091622</v>
      </c>
      <c r="G15" s="690"/>
      <c r="H15" s="688" t="s">
        <v>769</v>
      </c>
      <c r="I15" s="689">
        <v>54.623450905624409</v>
      </c>
      <c r="J15" s="689">
        <v>35.93898951382269</v>
      </c>
      <c r="K15" s="689">
        <v>9.4375595805529091</v>
      </c>
    </row>
    <row r="16" spans="2:39">
      <c r="C16" s="688" t="s">
        <v>770</v>
      </c>
      <c r="D16" s="689">
        <v>36.409736308316425</v>
      </c>
      <c r="E16" s="689">
        <v>51.825557809330626</v>
      </c>
      <c r="F16" s="689">
        <v>11.764705882352892</v>
      </c>
      <c r="G16" s="690"/>
      <c r="H16" s="688" t="s">
        <v>770</v>
      </c>
      <c r="I16" s="689">
        <v>53.589484327603643</v>
      </c>
      <c r="J16" s="689">
        <v>37.209302325581397</v>
      </c>
      <c r="K16" s="689">
        <v>9.2012133468149653</v>
      </c>
    </row>
    <row r="17" spans="3:11">
      <c r="C17" s="688" t="s">
        <v>771</v>
      </c>
      <c r="D17" s="689">
        <v>39.062500000000007</v>
      </c>
      <c r="E17" s="689">
        <v>51.830357142857139</v>
      </c>
      <c r="F17" s="689">
        <v>9.1071428571428559</v>
      </c>
      <c r="G17" s="690"/>
      <c r="H17" s="688" t="s">
        <v>771</v>
      </c>
      <c r="I17" s="689">
        <v>51.136870263040578</v>
      </c>
      <c r="J17" s="689">
        <v>39.812750780205079</v>
      </c>
      <c r="K17" s="689">
        <v>9.0503789567543471</v>
      </c>
    </row>
    <row r="18" spans="3:11">
      <c r="C18" s="688" t="s">
        <v>772</v>
      </c>
      <c r="D18" s="689">
        <v>48.773841961852852</v>
      </c>
      <c r="E18" s="689">
        <v>44.741144414168936</v>
      </c>
      <c r="F18" s="689">
        <v>6.4850136239782001</v>
      </c>
      <c r="G18" s="690"/>
      <c r="H18" s="688" t="s">
        <v>772</v>
      </c>
      <c r="I18" s="689">
        <v>60.805661404463805</v>
      </c>
      <c r="J18" s="689">
        <v>32.825258573761566</v>
      </c>
      <c r="K18" s="689">
        <v>6.3690800217746322</v>
      </c>
    </row>
    <row r="19" spans="3:11">
      <c r="C19" s="688" t="s">
        <v>773</v>
      </c>
      <c r="D19" s="689">
        <v>40.582403965303591</v>
      </c>
      <c r="E19" s="689">
        <v>50.929368029739777</v>
      </c>
      <c r="F19" s="689">
        <v>8.4882280049566337</v>
      </c>
      <c r="G19" s="690"/>
      <c r="H19" s="688" t="s">
        <v>773</v>
      </c>
      <c r="I19" s="689">
        <v>54.127870887647418</v>
      </c>
      <c r="J19" s="689">
        <v>39.292364990689009</v>
      </c>
      <c r="K19" s="689">
        <v>6.5797641216635627</v>
      </c>
    </row>
    <row r="20" spans="3:11">
      <c r="C20" s="688" t="s">
        <v>774</v>
      </c>
      <c r="D20" s="689">
        <v>31.276297335203367</v>
      </c>
      <c r="E20" s="689">
        <v>55.68022440392707</v>
      </c>
      <c r="F20" s="689">
        <v>13.043478260869563</v>
      </c>
      <c r="G20" s="690"/>
      <c r="H20" s="688" t="s">
        <v>774</v>
      </c>
      <c r="I20" s="689">
        <v>42.636746143057501</v>
      </c>
      <c r="J20" s="689">
        <v>44.740532959326792</v>
      </c>
      <c r="K20" s="689">
        <v>12.622720897615709</v>
      </c>
    </row>
    <row r="21" spans="3:11">
      <c r="C21" s="688" t="s">
        <v>811</v>
      </c>
      <c r="D21" s="689">
        <v>48.440610484406101</v>
      </c>
      <c r="E21" s="689">
        <v>45.388188453881881</v>
      </c>
      <c r="F21" s="689">
        <v>6.1712010617120105</v>
      </c>
      <c r="G21" s="690"/>
      <c r="H21" s="688" t="s">
        <v>811</v>
      </c>
      <c r="I21" s="689">
        <v>59.099933818663132</v>
      </c>
      <c r="J21" s="689">
        <v>34.281932495036401</v>
      </c>
      <c r="K21" s="689">
        <v>6.6181336863004629</v>
      </c>
    </row>
    <row r="22" spans="3:11">
      <c r="C22" s="688" t="s">
        <v>776</v>
      </c>
      <c r="D22" s="689">
        <v>35.13513513513513</v>
      </c>
      <c r="E22" s="689">
        <v>45.945945945945951</v>
      </c>
      <c r="F22" s="689">
        <v>18.918918918918902</v>
      </c>
      <c r="G22" s="690"/>
      <c r="H22" s="688" t="s">
        <v>776</v>
      </c>
      <c r="I22" s="689">
        <v>43.243243243243242</v>
      </c>
      <c r="J22" s="689">
        <v>46.396396396396398</v>
      </c>
      <c r="K22" s="689">
        <v>10.36036036036036</v>
      </c>
    </row>
    <row r="23" spans="3:11">
      <c r="C23" s="688" t="s">
        <v>777</v>
      </c>
      <c r="D23" s="689">
        <v>35.928143712574858</v>
      </c>
      <c r="E23" s="689">
        <v>46.107784431137731</v>
      </c>
      <c r="F23" s="689">
        <v>17.964071856287404</v>
      </c>
      <c r="G23" s="690"/>
      <c r="H23" s="688" t="s">
        <v>777</v>
      </c>
      <c r="I23" s="689">
        <v>49.404761904761905</v>
      </c>
      <c r="J23" s="689">
        <v>33.928571428571431</v>
      </c>
      <c r="K23" s="689">
        <v>16.666666666666668</v>
      </c>
    </row>
    <row r="24" spans="3:11">
      <c r="C24" s="688" t="s">
        <v>778</v>
      </c>
      <c r="D24" s="689">
        <v>41.897233201581024</v>
      </c>
      <c r="E24" s="689">
        <v>51.581027667984195</v>
      </c>
      <c r="F24" s="689">
        <v>6.5217391304347876</v>
      </c>
      <c r="G24" s="690"/>
      <c r="H24" s="688" t="s">
        <v>778</v>
      </c>
      <c r="I24" s="689">
        <v>60.474308300395251</v>
      </c>
      <c r="J24" s="689">
        <v>33.596837944664031</v>
      </c>
      <c r="K24" s="689">
        <v>5.928853754940711</v>
      </c>
    </row>
    <row r="25" spans="3:11">
      <c r="C25" s="688" t="s">
        <v>779</v>
      </c>
      <c r="D25" s="689">
        <v>39.897698209718669</v>
      </c>
      <c r="E25" s="689">
        <v>47.826086956521742</v>
      </c>
      <c r="F25" s="689">
        <v>12.27621483375955</v>
      </c>
      <c r="G25" s="690"/>
      <c r="H25" s="688" t="s">
        <v>779</v>
      </c>
      <c r="I25" s="689">
        <v>50.512820512820511</v>
      </c>
      <c r="J25" s="689">
        <v>38.974358974358978</v>
      </c>
      <c r="K25" s="689">
        <v>10.512820512820513</v>
      </c>
    </row>
    <row r="26" spans="3:11">
      <c r="C26" s="688" t="s">
        <v>780</v>
      </c>
      <c r="D26" s="689">
        <v>44.980694980694977</v>
      </c>
      <c r="E26" s="689">
        <v>44.594594594594597</v>
      </c>
      <c r="F26" s="689">
        <v>10.424710424710423</v>
      </c>
      <c r="G26" s="690"/>
      <c r="H26" s="688" t="s">
        <v>780</v>
      </c>
      <c r="I26" s="689">
        <v>55.165692007797269</v>
      </c>
      <c r="J26" s="689">
        <v>35.087719298245609</v>
      </c>
      <c r="K26" s="689">
        <v>9.7465886939571131</v>
      </c>
    </row>
    <row r="27" spans="3:11">
      <c r="C27" s="688" t="s">
        <v>781</v>
      </c>
      <c r="D27" s="689">
        <v>38.816402609506056</v>
      </c>
      <c r="E27" s="689">
        <v>52.329916123019572</v>
      </c>
      <c r="F27" s="689">
        <v>8.8536812674743732</v>
      </c>
      <c r="G27" s="690"/>
      <c r="H27" s="688" t="s">
        <v>781</v>
      </c>
      <c r="I27" s="689">
        <v>46.433566433566433</v>
      </c>
      <c r="J27" s="689">
        <v>45.454545454545453</v>
      </c>
      <c r="K27" s="689">
        <v>8.1118881118881117</v>
      </c>
    </row>
    <row r="28" spans="3:11">
      <c r="C28" s="688" t="s">
        <v>782</v>
      </c>
      <c r="D28" s="689">
        <v>42.916361862960258</v>
      </c>
      <c r="E28" s="689">
        <v>46.630903031780868</v>
      </c>
      <c r="F28" s="689">
        <v>10.452735105258878</v>
      </c>
      <c r="G28" s="690"/>
      <c r="H28" s="688" t="s">
        <v>782</v>
      </c>
      <c r="I28" s="689">
        <v>51.229241289482253</v>
      </c>
      <c r="J28" s="689">
        <v>39.001953760989906</v>
      </c>
      <c r="K28" s="689">
        <v>9.7688049495278406</v>
      </c>
    </row>
    <row r="29" spans="3:11">
      <c r="C29" s="688" t="s">
        <v>783</v>
      </c>
      <c r="D29" s="689">
        <v>34.354485776805248</v>
      </c>
      <c r="E29" s="689">
        <v>53.566739606126909</v>
      </c>
      <c r="F29" s="689">
        <v>12.078774617067841</v>
      </c>
      <c r="G29" s="690"/>
      <c r="H29" s="688" t="s">
        <v>783</v>
      </c>
      <c r="I29" s="689">
        <v>39.703639137066901</v>
      </c>
      <c r="J29" s="689">
        <v>47.657441708433211</v>
      </c>
      <c r="K29" s="689">
        <v>12.638919154499892</v>
      </c>
    </row>
    <row r="30" spans="3:11">
      <c r="C30" s="688" t="s">
        <v>784</v>
      </c>
      <c r="D30" s="689">
        <v>38.077969174977341</v>
      </c>
      <c r="E30" s="689">
        <v>52.855847688123305</v>
      </c>
      <c r="F30" s="689">
        <v>9.06618313689936</v>
      </c>
      <c r="G30" s="690"/>
      <c r="H30" s="688" t="s">
        <v>784</v>
      </c>
      <c r="I30" s="689">
        <v>47.511312217194572</v>
      </c>
      <c r="J30" s="689">
        <v>44.705882352941181</v>
      </c>
      <c r="K30" s="689">
        <v>7.7828054298642533</v>
      </c>
    </row>
    <row r="31" spans="3:11">
      <c r="C31" s="688" t="s">
        <v>785</v>
      </c>
      <c r="D31" s="689">
        <v>38.319823139277815</v>
      </c>
      <c r="E31" s="689">
        <v>52.2476050110538</v>
      </c>
      <c r="F31" s="689">
        <v>9.4325718496683848</v>
      </c>
      <c r="G31" s="690"/>
      <c r="H31" s="688" t="s">
        <v>785</v>
      </c>
      <c r="I31" s="689">
        <v>47.755702722590136</v>
      </c>
      <c r="J31" s="689">
        <v>41.721854304635762</v>
      </c>
      <c r="K31" s="689">
        <v>10.522442972774099</v>
      </c>
    </row>
    <row r="32" spans="3:11">
      <c r="C32" s="688" t="s">
        <v>786</v>
      </c>
      <c r="D32" s="689">
        <v>34.413965087281802</v>
      </c>
      <c r="E32" s="689">
        <v>54.114713216957611</v>
      </c>
      <c r="F32" s="689">
        <v>11.47132169576059</v>
      </c>
      <c r="G32" s="690"/>
      <c r="H32" s="688" t="s">
        <v>786</v>
      </c>
      <c r="I32" s="689">
        <v>37.655860349127181</v>
      </c>
      <c r="J32" s="689">
        <v>49.376558603491269</v>
      </c>
      <c r="K32" s="689">
        <v>12.967581047381547</v>
      </c>
    </row>
    <row r="33" spans="3:11">
      <c r="C33" s="688" t="s">
        <v>787</v>
      </c>
      <c r="D33" s="689">
        <v>31.023102310231017</v>
      </c>
      <c r="E33" s="689">
        <v>53.795379537953792</v>
      </c>
      <c r="F33" s="689">
        <v>15.181518151815149</v>
      </c>
      <c r="G33" s="690"/>
      <c r="H33" s="688" t="s">
        <v>787</v>
      </c>
      <c r="I33" s="689">
        <v>35.03289473684211</v>
      </c>
      <c r="J33" s="689">
        <v>46.875</v>
      </c>
      <c r="K33" s="689">
        <v>18.092105263157894</v>
      </c>
    </row>
    <row r="34" spans="3:11">
      <c r="C34" s="688" t="s">
        <v>788</v>
      </c>
      <c r="D34" s="689">
        <v>38.354978354978357</v>
      </c>
      <c r="E34" s="689">
        <v>48.744588744588746</v>
      </c>
      <c r="F34" s="689">
        <v>12.900432900432866</v>
      </c>
      <c r="G34" s="690"/>
      <c r="H34" s="688" t="s">
        <v>788</v>
      </c>
      <c r="I34" s="689">
        <v>45.367965367965368</v>
      </c>
      <c r="J34" s="689">
        <v>39.567099567099568</v>
      </c>
      <c r="K34" s="689">
        <v>15.064935064935064</v>
      </c>
    </row>
    <row r="35" spans="3:11">
      <c r="C35" s="688" t="s">
        <v>789</v>
      </c>
      <c r="D35" s="689">
        <v>29.765395894428149</v>
      </c>
      <c r="E35" s="689">
        <v>53.958944281524921</v>
      </c>
      <c r="F35" s="689">
        <v>16.275659824046954</v>
      </c>
      <c r="G35" s="690"/>
      <c r="H35" s="688" t="s">
        <v>789</v>
      </c>
      <c r="I35" s="689">
        <v>36.934306569343065</v>
      </c>
      <c r="J35" s="689">
        <v>46.131386861313864</v>
      </c>
      <c r="K35" s="689">
        <v>16.934306569343065</v>
      </c>
    </row>
    <row r="36" spans="3:11">
      <c r="C36" s="688" t="s">
        <v>685</v>
      </c>
      <c r="D36" s="689">
        <v>29.715229054890628</v>
      </c>
      <c r="E36" s="689">
        <v>54.643004539826656</v>
      </c>
      <c r="F36" s="689">
        <v>15.641766405282695</v>
      </c>
      <c r="G36" s="690"/>
      <c r="H36" s="688" t="s">
        <v>685</v>
      </c>
      <c r="I36" s="689">
        <v>38.461538461538467</v>
      </c>
      <c r="J36" s="689">
        <v>46.567411083540115</v>
      </c>
      <c r="K36" s="689">
        <v>14.971050454921421</v>
      </c>
    </row>
    <row r="37" spans="3:11">
      <c r="C37" s="688" t="s">
        <v>812</v>
      </c>
      <c r="D37" s="689">
        <v>39.033457249070629</v>
      </c>
      <c r="E37" s="689">
        <v>52.850061957868654</v>
      </c>
      <c r="F37" s="689">
        <v>8.1164807930607132</v>
      </c>
      <c r="G37" s="690"/>
      <c r="H37" s="688" t="s">
        <v>812</v>
      </c>
      <c r="I37" s="689">
        <v>53.374613003095973</v>
      </c>
      <c r="J37" s="689">
        <v>39.690402476780186</v>
      </c>
      <c r="K37" s="689">
        <v>6.9349845201238391</v>
      </c>
    </row>
    <row r="38" spans="3:11">
      <c r="C38" s="691" t="s">
        <v>469</v>
      </c>
      <c r="D38" s="663">
        <v>39.920404854321234</v>
      </c>
      <c r="E38" s="663">
        <v>49.742052768633613</v>
      </c>
      <c r="F38" s="664">
        <v>10.337542377045152</v>
      </c>
      <c r="G38" s="690"/>
      <c r="H38" s="691" t="s">
        <v>469</v>
      </c>
      <c r="I38" s="663">
        <v>50.947812991094814</v>
      </c>
      <c r="J38" s="663">
        <v>39.662454164484025</v>
      </c>
      <c r="K38" s="664">
        <v>9.3897328444211627</v>
      </c>
    </row>
    <row r="39" spans="3:11">
      <c r="C39" s="90"/>
      <c r="D39" s="90"/>
      <c r="E39" s="90"/>
      <c r="F39" s="90"/>
      <c r="G39" s="90"/>
      <c r="H39" s="90"/>
      <c r="I39" s="90"/>
      <c r="J39" s="90"/>
      <c r="K39" s="90"/>
    </row>
    <row r="40" spans="3:11">
      <c r="C40" s="90"/>
      <c r="D40" s="90"/>
      <c r="E40" s="90"/>
      <c r="F40" s="638" t="s">
        <v>332</v>
      </c>
      <c r="G40" s="90"/>
      <c r="H40" s="90"/>
      <c r="I40" s="90"/>
      <c r="J40" s="90"/>
      <c r="K40" s="638" t="s">
        <v>332</v>
      </c>
    </row>
    <row r="41" spans="3:11" ht="15.75" thickBot="1">
      <c r="C41" s="1262" t="s">
        <v>804</v>
      </c>
      <c r="D41" s="1263"/>
      <c r="E41" s="1263"/>
      <c r="F41" s="1263"/>
      <c r="G41" s="90"/>
      <c r="H41" s="1262" t="s">
        <v>805</v>
      </c>
      <c r="I41" s="1263"/>
      <c r="J41" s="1263"/>
      <c r="K41" s="1263"/>
    </row>
    <row r="42" spans="3:11" ht="15.75" thickBot="1">
      <c r="C42" s="1264" t="s">
        <v>762</v>
      </c>
      <c r="D42" s="1266" t="s">
        <v>536</v>
      </c>
      <c r="E42" s="1267"/>
      <c r="F42" s="1267"/>
      <c r="G42" s="90"/>
      <c r="H42" s="1264" t="s">
        <v>762</v>
      </c>
      <c r="I42" s="1266" t="s">
        <v>536</v>
      </c>
      <c r="J42" s="1267"/>
      <c r="K42" s="1267"/>
    </row>
    <row r="43" spans="3:11">
      <c r="C43" s="1265"/>
      <c r="D43" s="686" t="s">
        <v>806</v>
      </c>
      <c r="E43" s="686" t="s">
        <v>807</v>
      </c>
      <c r="F43" s="687" t="s">
        <v>808</v>
      </c>
      <c r="G43" s="90"/>
      <c r="H43" s="1265"/>
      <c r="I43" s="686" t="s">
        <v>806</v>
      </c>
      <c r="J43" s="686" t="s">
        <v>807</v>
      </c>
      <c r="K43" s="687" t="s">
        <v>808</v>
      </c>
    </row>
    <row r="44" spans="3:11">
      <c r="C44" s="688" t="s">
        <v>809</v>
      </c>
      <c r="D44" s="689">
        <v>47.324159021406729</v>
      </c>
      <c r="E44" s="689">
        <v>46.406727828746178</v>
      </c>
      <c r="F44" s="689">
        <v>6.2691131498471</v>
      </c>
      <c r="G44" s="690"/>
      <c r="H44" s="688" t="s">
        <v>809</v>
      </c>
      <c r="I44" s="689">
        <v>47.732513451191394</v>
      </c>
      <c r="J44" s="689">
        <v>43.197540353574176</v>
      </c>
      <c r="K44" s="689">
        <v>9.0699461952344347</v>
      </c>
    </row>
    <row r="45" spans="3:11">
      <c r="C45" s="688" t="s">
        <v>764</v>
      </c>
      <c r="D45" s="689">
        <v>49.9817050859861</v>
      </c>
      <c r="E45" s="689">
        <v>43.944383461397727</v>
      </c>
      <c r="F45" s="689">
        <v>6.0739114526161702</v>
      </c>
      <c r="G45" s="90"/>
      <c r="H45" s="688" t="s">
        <v>764</v>
      </c>
      <c r="I45" s="689">
        <v>50.772626931567331</v>
      </c>
      <c r="J45" s="689">
        <v>40.213392200147169</v>
      </c>
      <c r="K45" s="689">
        <v>9.013980868285504</v>
      </c>
    </row>
    <row r="46" spans="3:11">
      <c r="C46" s="688" t="s">
        <v>765</v>
      </c>
      <c r="D46" s="689">
        <v>49.092558983666066</v>
      </c>
      <c r="E46" s="689">
        <v>45.341802782819116</v>
      </c>
      <c r="F46" s="689">
        <v>5.5656382335148216</v>
      </c>
      <c r="G46" s="90"/>
      <c r="H46" s="688" t="s">
        <v>765</v>
      </c>
      <c r="I46" s="689">
        <v>51.059322033898312</v>
      </c>
      <c r="J46" s="689">
        <v>40.980629539951572</v>
      </c>
      <c r="K46" s="689">
        <v>7.960048426150121</v>
      </c>
    </row>
    <row r="47" spans="3:11">
      <c r="C47" s="688" t="s">
        <v>766</v>
      </c>
      <c r="D47" s="689">
        <v>50.742872440101749</v>
      </c>
      <c r="E47" s="689">
        <v>42.83228483469415</v>
      </c>
      <c r="F47" s="689">
        <v>6.4248427252041234</v>
      </c>
      <c r="G47" s="90"/>
      <c r="H47" s="688" t="s">
        <v>766</v>
      </c>
      <c r="I47" s="689">
        <v>49.181427804616206</v>
      </c>
      <c r="J47" s="689">
        <v>40.257648953301128</v>
      </c>
      <c r="K47" s="689">
        <v>10.560923242082662</v>
      </c>
    </row>
    <row r="48" spans="3:11">
      <c r="C48" s="688" t="s">
        <v>767</v>
      </c>
      <c r="D48" s="689">
        <v>45.025892613791228</v>
      </c>
      <c r="E48" s="689">
        <v>47.260834014717908</v>
      </c>
      <c r="F48" s="689">
        <v>7.7132733714908692</v>
      </c>
      <c r="G48" s="90"/>
      <c r="H48" s="688" t="s">
        <v>767</v>
      </c>
      <c r="I48" s="689">
        <v>48.465753424657535</v>
      </c>
      <c r="J48" s="689">
        <v>40.054794520547944</v>
      </c>
      <c r="K48" s="689">
        <v>11.479452054794519</v>
      </c>
    </row>
    <row r="49" spans="3:11">
      <c r="C49" s="688" t="s">
        <v>810</v>
      </c>
      <c r="D49" s="689">
        <v>53.049555273189334</v>
      </c>
      <c r="E49" s="689">
        <v>43.07496823379924</v>
      </c>
      <c r="F49" s="689">
        <v>3.8754764930114356</v>
      </c>
      <c r="G49" s="90"/>
      <c r="H49" s="688" t="s">
        <v>810</v>
      </c>
      <c r="I49" s="689">
        <v>52</v>
      </c>
      <c r="J49" s="689">
        <v>39.555555555555557</v>
      </c>
      <c r="K49" s="689">
        <v>8.4444444444444429</v>
      </c>
    </row>
    <row r="50" spans="3:11">
      <c r="C50" s="688" t="s">
        <v>769</v>
      </c>
      <c r="D50" s="689">
        <v>49.323017408123789</v>
      </c>
      <c r="E50" s="689">
        <v>45.16441005802708</v>
      </c>
      <c r="F50" s="689">
        <v>5.5125725338491298</v>
      </c>
      <c r="G50" s="90"/>
      <c r="H50" s="688" t="s">
        <v>769</v>
      </c>
      <c r="I50" s="689">
        <v>48.443579766536963</v>
      </c>
      <c r="J50" s="689">
        <v>41.536964980544752</v>
      </c>
      <c r="K50" s="689">
        <v>10.019455252918288</v>
      </c>
    </row>
    <row r="51" spans="3:11">
      <c r="C51" s="688" t="s">
        <v>770</v>
      </c>
      <c r="D51" s="689">
        <v>45.707656612529007</v>
      </c>
      <c r="E51" s="689">
        <v>47.215777262180971</v>
      </c>
      <c r="F51" s="689">
        <v>7.0765661252900234</v>
      </c>
      <c r="G51" s="90"/>
      <c r="H51" s="688" t="s">
        <v>770</v>
      </c>
      <c r="I51" s="689">
        <v>50</v>
      </c>
      <c r="J51" s="689">
        <v>38.747099767981439</v>
      </c>
      <c r="K51" s="689">
        <v>11.252900232018561</v>
      </c>
    </row>
    <row r="52" spans="3:11">
      <c r="C52" s="688" t="s">
        <v>771</v>
      </c>
      <c r="D52" s="689">
        <v>48.983280614550388</v>
      </c>
      <c r="E52" s="689">
        <v>45.323090826931768</v>
      </c>
      <c r="F52" s="689">
        <v>5.6936285585178501</v>
      </c>
      <c r="G52" s="90"/>
      <c r="H52" s="688" t="s">
        <v>771</v>
      </c>
      <c r="I52" s="689">
        <v>46.901854364540931</v>
      </c>
      <c r="J52" s="689">
        <v>42.379014020805066</v>
      </c>
      <c r="K52" s="689">
        <v>10.719131614654003</v>
      </c>
    </row>
    <row r="53" spans="3:11">
      <c r="C53" s="688" t="s">
        <v>772</v>
      </c>
      <c r="D53" s="689">
        <v>56.784741144414163</v>
      </c>
      <c r="E53" s="689">
        <v>39.291553133514981</v>
      </c>
      <c r="F53" s="689">
        <v>3.9237057220708449</v>
      </c>
      <c r="G53" s="90"/>
      <c r="H53" s="688" t="s">
        <v>772</v>
      </c>
      <c r="I53" s="689">
        <v>53.884026258205694</v>
      </c>
      <c r="J53" s="689">
        <v>39.059080962800877</v>
      </c>
      <c r="K53" s="689">
        <v>7.0568927789934355</v>
      </c>
    </row>
    <row r="54" spans="3:11">
      <c r="C54" s="688" t="s">
        <v>773</v>
      </c>
      <c r="D54" s="689">
        <v>54.342273307790549</v>
      </c>
      <c r="E54" s="689">
        <v>41.379310344827587</v>
      </c>
      <c r="F54" s="689">
        <v>4.2784163473818646</v>
      </c>
      <c r="G54" s="90"/>
      <c r="H54" s="688" t="s">
        <v>773</v>
      </c>
      <c r="I54" s="689">
        <v>48.207426376440459</v>
      </c>
      <c r="J54" s="689">
        <v>44.046094750320101</v>
      </c>
      <c r="K54" s="689">
        <v>7.746478873239437</v>
      </c>
    </row>
    <row r="55" spans="3:11">
      <c r="C55" s="688" t="s">
        <v>774</v>
      </c>
      <c r="D55" s="689">
        <v>42.067988668555238</v>
      </c>
      <c r="E55" s="689">
        <v>50.424929178470258</v>
      </c>
      <c r="F55" s="689">
        <v>7.5070821529745038</v>
      </c>
      <c r="G55" s="90"/>
      <c r="H55" s="688" t="s">
        <v>774</v>
      </c>
      <c r="I55" s="689">
        <v>34.80113636363636</v>
      </c>
      <c r="J55" s="689">
        <v>51.136363636363633</v>
      </c>
      <c r="K55" s="689">
        <v>14.0625</v>
      </c>
    </row>
    <row r="56" spans="3:11">
      <c r="C56" s="688" t="s">
        <v>811</v>
      </c>
      <c r="D56" s="689">
        <v>52.911392405063296</v>
      </c>
      <c r="E56" s="689">
        <v>42.911392405063289</v>
      </c>
      <c r="F56" s="689">
        <v>4.1772151898734178</v>
      </c>
      <c r="G56" s="90"/>
      <c r="H56" s="688" t="s">
        <v>811</v>
      </c>
      <c r="I56" s="689">
        <v>50.349206349206355</v>
      </c>
      <c r="J56" s="689">
        <v>42.857142857142854</v>
      </c>
      <c r="K56" s="689">
        <v>6.7936507936507935</v>
      </c>
    </row>
    <row r="57" spans="3:11">
      <c r="C57" s="688" t="s">
        <v>776</v>
      </c>
      <c r="D57" s="689">
        <v>39.344262295081968</v>
      </c>
      <c r="E57" s="689">
        <v>54.644808743169406</v>
      </c>
      <c r="F57" s="689">
        <v>6.0109289617486334</v>
      </c>
      <c r="G57" s="90"/>
      <c r="H57" s="688" t="s">
        <v>776</v>
      </c>
      <c r="I57" s="689">
        <v>38.586956521739125</v>
      </c>
      <c r="J57" s="689">
        <v>48.913043478260867</v>
      </c>
      <c r="K57" s="689">
        <v>12.5</v>
      </c>
    </row>
    <row r="58" spans="3:11">
      <c r="C58" s="688" t="s">
        <v>777</v>
      </c>
      <c r="D58" s="689">
        <v>44.632768361581917</v>
      </c>
      <c r="E58" s="689">
        <v>44.067796610169488</v>
      </c>
      <c r="F58" s="689">
        <v>11.299435028248586</v>
      </c>
      <c r="G58" s="90"/>
      <c r="H58" s="688" t="s">
        <v>777</v>
      </c>
      <c r="I58" s="689">
        <v>41.807909604519779</v>
      </c>
      <c r="J58" s="689">
        <v>45.197740112994353</v>
      </c>
      <c r="K58" s="689">
        <v>12.994350282485875</v>
      </c>
    </row>
    <row r="59" spans="3:11">
      <c r="C59" s="688" t="s">
        <v>778</v>
      </c>
      <c r="D59" s="689">
        <v>49.312377210216113</v>
      </c>
      <c r="E59" s="689">
        <v>44.204322200392923</v>
      </c>
      <c r="F59" s="689">
        <v>6.4833005893909625</v>
      </c>
      <c r="G59" s="90"/>
      <c r="H59" s="688" t="s">
        <v>778</v>
      </c>
      <c r="I59" s="689">
        <v>48.330058939096268</v>
      </c>
      <c r="J59" s="689">
        <v>44.007858546168961</v>
      </c>
      <c r="K59" s="689">
        <v>7.6620825147347738</v>
      </c>
    </row>
    <row r="60" spans="3:11">
      <c r="C60" s="688" t="s">
        <v>779</v>
      </c>
      <c r="D60" s="689">
        <v>50</v>
      </c>
      <c r="E60" s="689">
        <v>43.939393939393938</v>
      </c>
      <c r="F60" s="689">
        <v>6.0606060606060606</v>
      </c>
      <c r="G60" s="90"/>
      <c r="H60" s="688" t="s">
        <v>779</v>
      </c>
      <c r="I60" s="689">
        <v>39.487179487179489</v>
      </c>
      <c r="J60" s="689">
        <v>50.512820512820511</v>
      </c>
      <c r="K60" s="689">
        <v>10</v>
      </c>
    </row>
    <row r="61" spans="3:11">
      <c r="C61" s="688" t="s">
        <v>780</v>
      </c>
      <c r="D61" s="689">
        <v>52.479338842975196</v>
      </c>
      <c r="E61" s="689">
        <v>41.942148760330575</v>
      </c>
      <c r="F61" s="689">
        <v>5.5785123966942152</v>
      </c>
      <c r="G61" s="90"/>
      <c r="H61" s="688" t="s">
        <v>780</v>
      </c>
      <c r="I61" s="689">
        <v>46.391752577319579</v>
      </c>
      <c r="J61" s="689">
        <v>43.092783505154642</v>
      </c>
      <c r="K61" s="689">
        <v>10.515463917525773</v>
      </c>
    </row>
    <row r="62" spans="3:11">
      <c r="C62" s="688" t="s">
        <v>781</v>
      </c>
      <c r="D62" s="689">
        <v>48.353808353808347</v>
      </c>
      <c r="E62" s="689">
        <v>46.535626535626534</v>
      </c>
      <c r="F62" s="689">
        <v>5.1105651105651102</v>
      </c>
      <c r="G62" s="90"/>
      <c r="H62" s="688" t="s">
        <v>781</v>
      </c>
      <c r="I62" s="689">
        <v>41.159135559921417</v>
      </c>
      <c r="J62" s="689">
        <v>46.316306483300593</v>
      </c>
      <c r="K62" s="689">
        <v>12.524557956777995</v>
      </c>
    </row>
    <row r="63" spans="3:11">
      <c r="C63" s="688" t="s">
        <v>782</v>
      </c>
      <c r="D63" s="689">
        <v>51.673178189230548</v>
      </c>
      <c r="E63" s="689">
        <v>41.243417700016991</v>
      </c>
      <c r="F63" s="689">
        <v>7.0834041107525056</v>
      </c>
      <c r="G63" s="90"/>
      <c r="H63" s="688" t="s">
        <v>782</v>
      </c>
      <c r="I63" s="689">
        <v>44.519148936170211</v>
      </c>
      <c r="J63" s="689">
        <v>41.97446808510638</v>
      </c>
      <c r="K63" s="689">
        <v>13.506382978723405</v>
      </c>
    </row>
    <row r="64" spans="3:11">
      <c r="C64" s="688" t="s">
        <v>783</v>
      </c>
      <c r="D64" s="689">
        <v>44.189159045282175</v>
      </c>
      <c r="E64" s="689">
        <v>48.182020968101718</v>
      </c>
      <c r="F64" s="689">
        <v>7.6288199866161053</v>
      </c>
      <c r="G64" s="90"/>
      <c r="H64" s="688" t="s">
        <v>783</v>
      </c>
      <c r="I64" s="689">
        <v>33.474670832403483</v>
      </c>
      <c r="J64" s="689">
        <v>49.899575987502793</v>
      </c>
      <c r="K64" s="689">
        <v>16.625753180093728</v>
      </c>
    </row>
    <row r="65" spans="3:11">
      <c r="C65" s="688" t="s">
        <v>784</v>
      </c>
      <c r="D65" s="689">
        <v>43.996494303242763</v>
      </c>
      <c r="E65" s="689">
        <v>49.868536371603852</v>
      </c>
      <c r="F65" s="689">
        <v>6.1349693251533743</v>
      </c>
      <c r="G65" s="90"/>
      <c r="H65" s="688" t="s">
        <v>784</v>
      </c>
      <c r="I65" s="689">
        <v>39.210526315789473</v>
      </c>
      <c r="J65" s="689">
        <v>48.157894736842103</v>
      </c>
      <c r="K65" s="689">
        <v>12.631578947368421</v>
      </c>
    </row>
    <row r="66" spans="3:11">
      <c r="C66" s="688" t="s">
        <v>785</v>
      </c>
      <c r="D66" s="689">
        <v>48.630136986301366</v>
      </c>
      <c r="E66" s="689">
        <v>44.824961948249623</v>
      </c>
      <c r="F66" s="689">
        <v>6.544901065449011</v>
      </c>
      <c r="G66" s="90"/>
      <c r="H66" s="688" t="s">
        <v>785</v>
      </c>
      <c r="I66" s="689">
        <v>38.650306748466257</v>
      </c>
      <c r="J66" s="689">
        <v>47.009202453987733</v>
      </c>
      <c r="K66" s="689">
        <v>14.340490797546014</v>
      </c>
    </row>
    <row r="67" spans="3:11">
      <c r="C67" s="688" t="s">
        <v>786</v>
      </c>
      <c r="D67" s="689">
        <v>43.304843304843303</v>
      </c>
      <c r="E67" s="689">
        <v>49.857549857549863</v>
      </c>
      <c r="F67" s="689">
        <v>6.8376068376068382</v>
      </c>
      <c r="G67" s="90"/>
      <c r="H67" s="688" t="s">
        <v>786</v>
      </c>
      <c r="I67" s="689">
        <v>29.629629629629626</v>
      </c>
      <c r="J67" s="689">
        <v>50.997150997150996</v>
      </c>
      <c r="K67" s="689">
        <v>19.373219373219374</v>
      </c>
    </row>
    <row r="68" spans="3:11">
      <c r="C68" s="688" t="s">
        <v>787</v>
      </c>
      <c r="D68" s="689">
        <v>38.607594936708857</v>
      </c>
      <c r="E68" s="689">
        <v>49.683544303797468</v>
      </c>
      <c r="F68" s="689">
        <v>11.708860759493671</v>
      </c>
      <c r="G68" s="90"/>
      <c r="H68" s="688" t="s">
        <v>787</v>
      </c>
      <c r="I68" s="689">
        <v>30.75709779179811</v>
      </c>
      <c r="J68" s="689">
        <v>45.58359621451104</v>
      </c>
      <c r="K68" s="689">
        <v>23.65930599369085</v>
      </c>
    </row>
    <row r="69" spans="3:11">
      <c r="C69" s="688" t="s">
        <v>788</v>
      </c>
      <c r="D69" s="689">
        <v>41.81654676258993</v>
      </c>
      <c r="E69" s="689">
        <v>48.741007194244609</v>
      </c>
      <c r="F69" s="689">
        <v>9.442446043165468</v>
      </c>
      <c r="G69" s="90"/>
      <c r="H69" s="688" t="s">
        <v>788</v>
      </c>
      <c r="I69" s="689">
        <v>35.888187556357074</v>
      </c>
      <c r="J69" s="689">
        <v>47.15960324616772</v>
      </c>
      <c r="K69" s="689">
        <v>16.952209197475202</v>
      </c>
    </row>
    <row r="70" spans="3:11">
      <c r="C70" s="688" t="s">
        <v>789</v>
      </c>
      <c r="D70" s="689">
        <v>37.388724035608305</v>
      </c>
      <c r="E70" s="689">
        <v>48.516320474777444</v>
      </c>
      <c r="F70" s="689">
        <v>14.094955489614243</v>
      </c>
      <c r="G70" s="90"/>
      <c r="H70" s="688" t="s">
        <v>789</v>
      </c>
      <c r="I70" s="689">
        <v>25.519287833827896</v>
      </c>
      <c r="J70" s="689">
        <v>49.703264094955493</v>
      </c>
      <c r="K70" s="689">
        <v>24.777448071216618</v>
      </c>
    </row>
    <row r="71" spans="3:11">
      <c r="C71" s="688" t="s">
        <v>685</v>
      </c>
      <c r="D71" s="689">
        <v>39.391413088786997</v>
      </c>
      <c r="E71" s="689">
        <v>51.438099208003329</v>
      </c>
      <c r="F71" s="689">
        <v>9.1704877032096697</v>
      </c>
      <c r="G71" s="90"/>
      <c r="H71" s="688" t="s">
        <v>685</v>
      </c>
      <c r="I71" s="689">
        <v>31.242158092848179</v>
      </c>
      <c r="J71" s="689">
        <v>49.68632371392723</v>
      </c>
      <c r="K71" s="689">
        <v>19.071518193224591</v>
      </c>
    </row>
    <row r="72" spans="3:11">
      <c r="C72" s="688" t="s">
        <v>812</v>
      </c>
      <c r="D72" s="689">
        <v>44.626021370207418</v>
      </c>
      <c r="E72" s="689">
        <v>49.717159019484605</v>
      </c>
      <c r="F72" s="689">
        <v>5.6568196103079824</v>
      </c>
      <c r="G72" s="90"/>
      <c r="H72" s="688" t="s">
        <v>812</v>
      </c>
      <c r="I72" s="689">
        <v>45.408805031446541</v>
      </c>
      <c r="J72" s="689">
        <v>45.157232704402517</v>
      </c>
      <c r="K72" s="689">
        <v>9.4339622641509422</v>
      </c>
    </row>
    <row r="73" spans="3:11">
      <c r="C73" s="691" t="s">
        <v>469</v>
      </c>
      <c r="D73" s="663">
        <v>48.500546631906488</v>
      </c>
      <c r="E73" s="663">
        <v>44.864182995542848</v>
      </c>
      <c r="F73" s="664">
        <v>6.6352703725506696</v>
      </c>
      <c r="G73" s="690"/>
      <c r="H73" s="691" t="s">
        <v>469</v>
      </c>
      <c r="I73" s="663">
        <v>44.519370174314716</v>
      </c>
      <c r="J73" s="663">
        <v>43.362891533767147</v>
      </c>
      <c r="K73" s="664">
        <v>12.117738291918137</v>
      </c>
    </row>
    <row r="76" spans="3:11">
      <c r="C76" s="2" t="s">
        <v>820</v>
      </c>
    </row>
    <row r="77" spans="3:11">
      <c r="C77" s="453"/>
    </row>
    <row r="78" spans="3:11">
      <c r="C78" s="2" t="s">
        <v>821</v>
      </c>
    </row>
  </sheetData>
  <mergeCells count="13">
    <mergeCell ref="C1:AM1"/>
    <mergeCell ref="C6:F6"/>
    <mergeCell ref="H6:K6"/>
    <mergeCell ref="C7:C8"/>
    <mergeCell ref="D7:F7"/>
    <mergeCell ref="H7:H8"/>
    <mergeCell ref="I7:K7"/>
    <mergeCell ref="C41:F41"/>
    <mergeCell ref="H41:K41"/>
    <mergeCell ref="C42:C43"/>
    <mergeCell ref="D42:F42"/>
    <mergeCell ref="H42:H43"/>
    <mergeCell ref="I42:K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AM32"/>
  <sheetViews>
    <sheetView workbookViewId="0"/>
  </sheetViews>
  <sheetFormatPr defaultRowHeight="15"/>
  <cols>
    <col min="1" max="1" width="2.28515625" customWidth="1"/>
    <col min="2" max="2" width="5.7109375" customWidth="1"/>
    <col min="3" max="3" width="16.7109375" customWidth="1"/>
    <col min="4" max="11" width="11.2851562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7</v>
      </c>
    </row>
    <row r="5" spans="2:39">
      <c r="D5" s="1100" t="s">
        <v>524</v>
      </c>
      <c r="E5" s="1101"/>
      <c r="F5" s="1101"/>
      <c r="G5" s="1101"/>
      <c r="H5" s="1101"/>
      <c r="I5" s="1101"/>
      <c r="J5" s="1101"/>
    </row>
    <row r="6" spans="2:39">
      <c r="C6" s="1098" t="s">
        <v>502</v>
      </c>
      <c r="D6" s="1102" t="s">
        <v>525</v>
      </c>
      <c r="E6" s="1102" t="s">
        <v>526</v>
      </c>
      <c r="F6" s="1102" t="s">
        <v>527</v>
      </c>
      <c r="G6" s="1102" t="s">
        <v>528</v>
      </c>
      <c r="H6" s="1102" t="s">
        <v>529</v>
      </c>
      <c r="I6" s="1102" t="s">
        <v>530</v>
      </c>
      <c r="J6" s="1102" t="s">
        <v>531</v>
      </c>
      <c r="K6" s="1096" t="s">
        <v>532</v>
      </c>
    </row>
    <row r="7" spans="2:39">
      <c r="C7" s="1099"/>
      <c r="D7" s="1103"/>
      <c r="E7" s="1103"/>
      <c r="F7" s="1103"/>
      <c r="G7" s="1103"/>
      <c r="H7" s="1103"/>
      <c r="I7" s="1103"/>
      <c r="J7" s="1103"/>
      <c r="K7" s="1097"/>
    </row>
    <row r="8" spans="2:39">
      <c r="C8" s="158" t="s">
        <v>503</v>
      </c>
      <c r="D8" s="165">
        <v>3420</v>
      </c>
      <c r="E8" s="165">
        <v>3147</v>
      </c>
      <c r="F8" s="165">
        <v>306</v>
      </c>
      <c r="G8" s="165">
        <v>427</v>
      </c>
      <c r="H8" s="165">
        <v>430</v>
      </c>
      <c r="I8" s="165">
        <v>426</v>
      </c>
      <c r="J8" s="165">
        <v>479</v>
      </c>
      <c r="K8" s="169"/>
    </row>
    <row r="9" spans="2:39">
      <c r="C9" s="161" t="s">
        <v>504</v>
      </c>
      <c r="D9" s="163">
        <v>1187</v>
      </c>
      <c r="E9" s="163">
        <v>676</v>
      </c>
      <c r="F9" s="163">
        <v>217</v>
      </c>
      <c r="G9" s="163">
        <v>713</v>
      </c>
      <c r="H9" s="163">
        <v>45</v>
      </c>
      <c r="I9" s="163">
        <v>45</v>
      </c>
      <c r="J9" s="163">
        <v>308</v>
      </c>
      <c r="K9" s="169"/>
    </row>
    <row r="10" spans="2:39">
      <c r="C10" s="164" t="s">
        <v>505</v>
      </c>
      <c r="D10" s="165">
        <v>2605</v>
      </c>
      <c r="E10" s="165">
        <v>1951</v>
      </c>
      <c r="F10" s="165">
        <v>415</v>
      </c>
      <c r="G10" s="165">
        <v>812</v>
      </c>
      <c r="H10" s="165">
        <v>322</v>
      </c>
      <c r="I10" s="165">
        <v>190</v>
      </c>
      <c r="J10" s="165">
        <v>186</v>
      </c>
      <c r="K10" s="169"/>
    </row>
    <row r="11" spans="2:39">
      <c r="C11" s="161" t="s">
        <v>506</v>
      </c>
      <c r="D11" s="163">
        <v>435</v>
      </c>
      <c r="E11" s="163">
        <v>201</v>
      </c>
      <c r="F11" s="163">
        <v>78</v>
      </c>
      <c r="G11" s="163">
        <v>111</v>
      </c>
      <c r="H11" s="163">
        <v>54</v>
      </c>
      <c r="I11" s="163">
        <v>17</v>
      </c>
      <c r="J11" s="163">
        <v>110</v>
      </c>
      <c r="K11" s="169"/>
    </row>
    <row r="12" spans="2:39">
      <c r="C12" s="164" t="s">
        <v>507</v>
      </c>
      <c r="D12" s="165">
        <v>684</v>
      </c>
      <c r="E12" s="165">
        <v>606</v>
      </c>
      <c r="F12" s="165">
        <v>253</v>
      </c>
      <c r="G12" s="165">
        <v>228</v>
      </c>
      <c r="H12" s="165">
        <v>82</v>
      </c>
      <c r="I12" s="165">
        <v>31</v>
      </c>
      <c r="J12" s="165">
        <v>66</v>
      </c>
      <c r="K12" s="169"/>
    </row>
    <row r="13" spans="2:39">
      <c r="C13" s="161" t="s">
        <v>508</v>
      </c>
      <c r="D13" s="163">
        <v>2686</v>
      </c>
      <c r="E13" s="163">
        <v>1540</v>
      </c>
      <c r="F13" s="163">
        <v>756</v>
      </c>
      <c r="G13" s="163">
        <v>491</v>
      </c>
      <c r="H13" s="163">
        <v>583</v>
      </c>
      <c r="I13" s="163">
        <v>358</v>
      </c>
      <c r="J13" s="163">
        <v>236</v>
      </c>
      <c r="K13" s="169"/>
    </row>
    <row r="14" spans="2:39">
      <c r="C14" s="164" t="s">
        <v>509</v>
      </c>
      <c r="D14" s="165">
        <v>1297</v>
      </c>
      <c r="E14" s="165">
        <v>778</v>
      </c>
      <c r="F14" s="165">
        <v>157</v>
      </c>
      <c r="G14" s="165">
        <v>449</v>
      </c>
      <c r="H14" s="165">
        <v>64</v>
      </c>
      <c r="I14" s="165">
        <v>42</v>
      </c>
      <c r="J14" s="165">
        <v>358</v>
      </c>
      <c r="K14" s="169"/>
    </row>
    <row r="15" spans="2:39">
      <c r="C15" s="161" t="s">
        <v>510</v>
      </c>
      <c r="D15" s="163">
        <v>11982</v>
      </c>
      <c r="E15" s="163">
        <v>10558</v>
      </c>
      <c r="F15" s="163">
        <v>3579</v>
      </c>
      <c r="G15" s="163">
        <v>7245</v>
      </c>
      <c r="H15" s="163">
        <v>1041</v>
      </c>
      <c r="I15" s="163">
        <v>1683</v>
      </c>
      <c r="J15" s="163">
        <v>6681</v>
      </c>
      <c r="K15" s="169"/>
    </row>
    <row r="16" spans="2:39">
      <c r="C16" s="164" t="s">
        <v>511</v>
      </c>
      <c r="D16" s="165">
        <v>357</v>
      </c>
      <c r="E16" s="165">
        <v>463</v>
      </c>
      <c r="F16" s="165">
        <v>157</v>
      </c>
      <c r="G16" s="165">
        <v>73</v>
      </c>
      <c r="H16" s="165">
        <v>55</v>
      </c>
      <c r="I16" s="165">
        <v>24</v>
      </c>
      <c r="J16" s="165">
        <v>54</v>
      </c>
      <c r="K16" s="169"/>
    </row>
    <row r="17" spans="3:11">
      <c r="C17" s="161" t="s">
        <v>512</v>
      </c>
      <c r="D17" s="163">
        <v>4033</v>
      </c>
      <c r="E17" s="163">
        <v>5340</v>
      </c>
      <c r="F17" s="163">
        <v>574</v>
      </c>
      <c r="G17" s="163">
        <v>480</v>
      </c>
      <c r="H17" s="163">
        <v>266</v>
      </c>
      <c r="I17" s="163">
        <v>87</v>
      </c>
      <c r="J17" s="163">
        <v>767</v>
      </c>
      <c r="K17" s="169"/>
    </row>
    <row r="18" spans="3:11">
      <c r="C18" s="164" t="s">
        <v>513</v>
      </c>
      <c r="D18" s="165">
        <v>43774</v>
      </c>
      <c r="E18" s="165">
        <v>11061</v>
      </c>
      <c r="F18" s="165">
        <v>31916</v>
      </c>
      <c r="G18" s="165">
        <v>10168</v>
      </c>
      <c r="H18" s="165">
        <v>17921</v>
      </c>
      <c r="I18" s="165">
        <v>17761</v>
      </c>
      <c r="J18" s="165">
        <v>4962</v>
      </c>
      <c r="K18" s="169"/>
    </row>
    <row r="19" spans="3:11">
      <c r="C19" s="161" t="s">
        <v>514</v>
      </c>
      <c r="D19" s="163">
        <v>665</v>
      </c>
      <c r="E19" s="163">
        <v>301</v>
      </c>
      <c r="F19" s="163">
        <v>77</v>
      </c>
      <c r="G19" s="163">
        <v>419</v>
      </c>
      <c r="H19" s="163">
        <v>41</v>
      </c>
      <c r="I19" s="163">
        <v>8</v>
      </c>
      <c r="J19" s="163">
        <v>349</v>
      </c>
      <c r="K19" s="169"/>
    </row>
    <row r="20" spans="3:11">
      <c r="C20" s="164" t="s">
        <v>515</v>
      </c>
      <c r="D20" s="165">
        <v>8276</v>
      </c>
      <c r="E20" s="165">
        <v>3854</v>
      </c>
      <c r="F20" s="165">
        <v>1360</v>
      </c>
      <c r="G20" s="165">
        <v>454</v>
      </c>
      <c r="H20" s="165">
        <v>1237</v>
      </c>
      <c r="I20" s="165">
        <v>484</v>
      </c>
      <c r="J20" s="165">
        <v>578</v>
      </c>
      <c r="K20" s="169"/>
    </row>
    <row r="21" spans="3:11">
      <c r="C21" s="161" t="s">
        <v>516</v>
      </c>
      <c r="D21" s="163">
        <v>7986</v>
      </c>
      <c r="E21" s="163">
        <v>6125</v>
      </c>
      <c r="F21" s="163">
        <v>338</v>
      </c>
      <c r="G21" s="163">
        <v>1365</v>
      </c>
      <c r="H21" s="163">
        <v>423</v>
      </c>
      <c r="I21" s="163">
        <v>192</v>
      </c>
      <c r="J21" s="163">
        <v>2519</v>
      </c>
      <c r="K21" s="169"/>
    </row>
    <row r="22" spans="3:11">
      <c r="C22" s="164" t="s">
        <v>517</v>
      </c>
      <c r="D22" s="165">
        <v>12928</v>
      </c>
      <c r="E22" s="165">
        <v>3249</v>
      </c>
      <c r="F22" s="165">
        <v>9855</v>
      </c>
      <c r="G22" s="165">
        <v>3117</v>
      </c>
      <c r="H22" s="165">
        <v>4673</v>
      </c>
      <c r="I22" s="165">
        <v>2708</v>
      </c>
      <c r="J22" s="165">
        <v>2991</v>
      </c>
      <c r="K22" s="169"/>
    </row>
    <row r="23" spans="3:11">
      <c r="C23" s="161" t="s">
        <v>518</v>
      </c>
      <c r="D23" s="163">
        <v>839</v>
      </c>
      <c r="E23" s="163">
        <v>395</v>
      </c>
      <c r="F23" s="163">
        <v>138</v>
      </c>
      <c r="G23" s="163">
        <v>104</v>
      </c>
      <c r="H23" s="163">
        <v>47</v>
      </c>
      <c r="I23" s="163">
        <v>14</v>
      </c>
      <c r="J23" s="163">
        <v>63</v>
      </c>
      <c r="K23" s="169"/>
    </row>
    <row r="24" spans="3:11">
      <c r="C24" s="164" t="s">
        <v>519</v>
      </c>
      <c r="D24" s="165">
        <v>482</v>
      </c>
      <c r="E24" s="165">
        <v>344</v>
      </c>
      <c r="F24" s="165">
        <v>109</v>
      </c>
      <c r="G24" s="165">
        <v>119</v>
      </c>
      <c r="H24" s="165">
        <v>44</v>
      </c>
      <c r="I24" s="165">
        <v>14</v>
      </c>
      <c r="J24" s="165">
        <v>23</v>
      </c>
      <c r="K24" s="169"/>
    </row>
    <row r="25" spans="3:11">
      <c r="C25" s="161" t="s">
        <v>520</v>
      </c>
      <c r="D25" s="163">
        <v>1154</v>
      </c>
      <c r="E25" s="163">
        <v>873</v>
      </c>
      <c r="F25" s="163">
        <v>366</v>
      </c>
      <c r="G25" s="163">
        <v>195</v>
      </c>
      <c r="H25" s="163">
        <v>166</v>
      </c>
      <c r="I25" s="163">
        <v>34</v>
      </c>
      <c r="J25" s="163">
        <v>174</v>
      </c>
      <c r="K25" s="169"/>
    </row>
    <row r="26" spans="3:11">
      <c r="C26" s="164" t="s">
        <v>521</v>
      </c>
      <c r="D26" s="165">
        <v>916</v>
      </c>
      <c r="E26" s="165">
        <v>296</v>
      </c>
      <c r="F26" s="165">
        <v>590</v>
      </c>
      <c r="G26" s="165">
        <v>63</v>
      </c>
      <c r="H26" s="165">
        <v>62</v>
      </c>
      <c r="I26" s="165">
        <v>65</v>
      </c>
      <c r="J26" s="165">
        <v>43</v>
      </c>
      <c r="K26" s="169"/>
    </row>
    <row r="27" spans="3:11">
      <c r="C27" s="161" t="s">
        <v>522</v>
      </c>
      <c r="D27" s="163">
        <v>1255</v>
      </c>
      <c r="E27" s="163">
        <v>736</v>
      </c>
      <c r="F27" s="163">
        <v>112</v>
      </c>
      <c r="G27" s="163">
        <v>377</v>
      </c>
      <c r="H27" s="163">
        <v>63</v>
      </c>
      <c r="I27" s="163">
        <v>207</v>
      </c>
      <c r="J27" s="163">
        <v>200</v>
      </c>
      <c r="K27" s="169"/>
    </row>
    <row r="28" spans="3:11">
      <c r="C28" s="157"/>
      <c r="D28" s="166"/>
      <c r="E28" s="166"/>
      <c r="F28" s="166"/>
      <c r="G28" s="166"/>
      <c r="H28" s="166"/>
      <c r="I28" s="166"/>
      <c r="J28" s="166"/>
      <c r="K28" s="170"/>
    </row>
    <row r="29" spans="3:11">
      <c r="C29" s="167" t="s">
        <v>523</v>
      </c>
      <c r="D29" s="171">
        <v>106961</v>
      </c>
      <c r="E29" s="171">
        <v>52494</v>
      </c>
      <c r="F29" s="171">
        <v>51353</v>
      </c>
      <c r="G29" s="171">
        <v>27410</v>
      </c>
      <c r="H29" s="171">
        <v>27619</v>
      </c>
      <c r="I29" s="171">
        <v>24390</v>
      </c>
      <c r="J29" s="171">
        <v>21147</v>
      </c>
      <c r="K29" s="172">
        <v>128903</v>
      </c>
    </row>
    <row r="32" spans="3:11">
      <c r="C32" s="157" t="s">
        <v>533</v>
      </c>
    </row>
  </sheetData>
  <mergeCells count="11">
    <mergeCell ref="C1:AM1"/>
    <mergeCell ref="K6:K7"/>
    <mergeCell ref="C6:C7"/>
    <mergeCell ref="D5:J5"/>
    <mergeCell ref="D6:D7"/>
    <mergeCell ref="E6:E7"/>
    <mergeCell ref="F6:F7"/>
    <mergeCell ref="G6:G7"/>
    <mergeCell ref="H6:H7"/>
    <mergeCell ref="I6:I7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B1:AM78"/>
  <sheetViews>
    <sheetView workbookViewId="0"/>
  </sheetViews>
  <sheetFormatPr defaultRowHeight="15"/>
  <cols>
    <col min="1" max="1" width="2.28515625" customWidth="1"/>
    <col min="2" max="2" width="5.7109375" customWidth="1"/>
    <col min="3" max="3" width="17.140625" customWidth="1"/>
    <col min="9" max="9" width="7.7109375" customWidth="1"/>
    <col min="10" max="10" width="17.1406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98</v>
      </c>
    </row>
    <row r="5" spans="2:39" ht="15.75" customHeight="1">
      <c r="C5" s="90"/>
      <c r="D5" s="90"/>
      <c r="E5" s="90"/>
      <c r="F5" s="90"/>
      <c r="G5" s="90"/>
      <c r="H5" s="638" t="s">
        <v>332</v>
      </c>
      <c r="I5" s="90"/>
      <c r="J5" s="90"/>
      <c r="K5" s="90"/>
      <c r="L5" s="90"/>
      <c r="M5" s="90"/>
      <c r="N5" s="90"/>
      <c r="O5" s="638" t="s">
        <v>332</v>
      </c>
    </row>
    <row r="6" spans="2:39" ht="15.75" thickBot="1">
      <c r="C6" s="1262" t="s">
        <v>813</v>
      </c>
      <c r="D6" s="1263"/>
      <c r="E6" s="1263"/>
      <c r="F6" s="1263"/>
      <c r="G6" s="1263"/>
      <c r="H6" s="1263"/>
      <c r="I6" s="90"/>
      <c r="J6" s="1262" t="s">
        <v>814</v>
      </c>
      <c r="K6" s="1263"/>
      <c r="L6" s="1263"/>
      <c r="M6" s="1263"/>
      <c r="N6" s="1263"/>
      <c r="O6" s="1263"/>
    </row>
    <row r="7" spans="2:39" ht="15.75" thickBot="1">
      <c r="C7" s="1264" t="s">
        <v>762</v>
      </c>
      <c r="D7" s="1266" t="s">
        <v>535</v>
      </c>
      <c r="E7" s="1267"/>
      <c r="F7" s="1267"/>
      <c r="G7" s="1267"/>
      <c r="H7" s="1267"/>
      <c r="I7" s="90"/>
      <c r="J7" s="1264" t="s">
        <v>762</v>
      </c>
      <c r="K7" s="1266" t="s">
        <v>535</v>
      </c>
      <c r="L7" s="1267"/>
      <c r="M7" s="1267"/>
      <c r="N7" s="1267"/>
      <c r="O7" s="1267"/>
    </row>
    <row r="8" spans="2:39">
      <c r="C8" s="1265"/>
      <c r="D8" s="692" t="s">
        <v>815</v>
      </c>
      <c r="E8" s="692" t="s">
        <v>816</v>
      </c>
      <c r="F8" s="692" t="s">
        <v>807</v>
      </c>
      <c r="G8" s="692" t="s">
        <v>817</v>
      </c>
      <c r="H8" s="693" t="s">
        <v>818</v>
      </c>
      <c r="I8" s="90"/>
      <c r="J8" s="1265"/>
      <c r="K8" s="692" t="s">
        <v>815</v>
      </c>
      <c r="L8" s="692" t="s">
        <v>816</v>
      </c>
      <c r="M8" s="692" t="s">
        <v>807</v>
      </c>
      <c r="N8" s="692" t="s">
        <v>817</v>
      </c>
      <c r="O8" s="693" t="s">
        <v>818</v>
      </c>
    </row>
    <row r="9" spans="2:39">
      <c r="C9" s="694" t="s">
        <v>809</v>
      </c>
      <c r="D9" s="689">
        <v>5.6937172774869111</v>
      </c>
      <c r="E9" s="689">
        <v>22.840314136125656</v>
      </c>
      <c r="F9" s="689">
        <v>58.180628272251312</v>
      </c>
      <c r="G9" s="689">
        <v>11.845549738219894</v>
      </c>
      <c r="H9" s="689">
        <v>1.4397905759162304</v>
      </c>
      <c r="I9" s="690"/>
      <c r="J9" s="694" t="s">
        <v>809</v>
      </c>
      <c r="K9" s="689">
        <v>7.6366030283080981</v>
      </c>
      <c r="L9" s="689">
        <v>19.35483870967742</v>
      </c>
      <c r="M9" s="689">
        <v>53.324555628703095</v>
      </c>
      <c r="N9" s="689">
        <v>18.367346938775512</v>
      </c>
      <c r="O9" s="689">
        <v>1.3166556945358789</v>
      </c>
    </row>
    <row r="10" spans="2:39">
      <c r="C10" s="694" t="s">
        <v>764</v>
      </c>
      <c r="D10" s="689">
        <v>5.7291666666666661</v>
      </c>
      <c r="E10" s="689">
        <v>26.822916666666668</v>
      </c>
      <c r="F10" s="689">
        <v>55.37109375</v>
      </c>
      <c r="G10" s="689">
        <v>11.197916666666668</v>
      </c>
      <c r="H10" s="689">
        <v>0.87890625</v>
      </c>
      <c r="I10" s="690"/>
      <c r="J10" s="694" t="s">
        <v>764</v>
      </c>
      <c r="K10" s="689">
        <v>9.3689004554326605</v>
      </c>
      <c r="L10" s="689">
        <v>23.552374756018217</v>
      </c>
      <c r="M10" s="689">
        <v>51.301236174365648</v>
      </c>
      <c r="N10" s="689">
        <v>14.443721535458687</v>
      </c>
      <c r="O10" s="689">
        <v>1.3337670787247886</v>
      </c>
    </row>
    <row r="11" spans="2:39">
      <c r="C11" s="694" t="s">
        <v>765</v>
      </c>
      <c r="D11" s="689">
        <v>5.8809523809523814</v>
      </c>
      <c r="E11" s="689">
        <v>22.714285714285715</v>
      </c>
      <c r="F11" s="689">
        <v>58.523809523809526</v>
      </c>
      <c r="G11" s="689">
        <v>12.333333333333334</v>
      </c>
      <c r="H11" s="689">
        <v>0.54761904761904767</v>
      </c>
      <c r="I11" s="690"/>
      <c r="J11" s="694" t="s">
        <v>765</v>
      </c>
      <c r="K11" s="689">
        <v>7.0167064439140807</v>
      </c>
      <c r="L11" s="689">
        <v>20.119331742243439</v>
      </c>
      <c r="M11" s="689">
        <v>55.489260143198095</v>
      </c>
      <c r="N11" s="689">
        <v>16.634844868735083</v>
      </c>
      <c r="O11" s="689">
        <v>0.73985680190930792</v>
      </c>
    </row>
    <row r="12" spans="2:39">
      <c r="C12" s="694" t="s">
        <v>766</v>
      </c>
      <c r="D12" s="689">
        <v>8.7870346923271718</v>
      </c>
      <c r="E12" s="689">
        <v>28.728792099265636</v>
      </c>
      <c r="F12" s="689">
        <v>51.329450493795903</v>
      </c>
      <c r="G12" s="689">
        <v>10.610281083818689</v>
      </c>
      <c r="H12" s="689">
        <v>0.54444163079260577</v>
      </c>
      <c r="I12" s="690"/>
      <c r="J12" s="694" t="s">
        <v>766</v>
      </c>
      <c r="K12" s="689">
        <v>10.88933804951996</v>
      </c>
      <c r="L12" s="689">
        <v>24.229408792319354</v>
      </c>
      <c r="M12" s="689">
        <v>46.34916624557858</v>
      </c>
      <c r="N12" s="689">
        <v>17.054067710965136</v>
      </c>
      <c r="O12" s="689">
        <v>1.4780192016169784</v>
      </c>
    </row>
    <row r="13" spans="2:39">
      <c r="C13" s="694" t="s">
        <v>767</v>
      </c>
      <c r="D13" s="689">
        <v>2.9299075952219966</v>
      </c>
      <c r="E13" s="689">
        <v>17.354068064007212</v>
      </c>
      <c r="F13" s="689">
        <v>59.972954699121026</v>
      </c>
      <c r="G13" s="689">
        <v>18.345729096236198</v>
      </c>
      <c r="H13" s="689">
        <v>1.3973405454135677</v>
      </c>
      <c r="I13" s="690"/>
      <c r="J13" s="694" t="s">
        <v>767</v>
      </c>
      <c r="K13" s="689">
        <v>4.2250338906461815</v>
      </c>
      <c r="L13" s="689">
        <v>16.177135110709447</v>
      </c>
      <c r="M13" s="689">
        <v>52.281970176231361</v>
      </c>
      <c r="N13" s="689">
        <v>24.830546769091729</v>
      </c>
      <c r="O13" s="689">
        <v>2.4853140533212836</v>
      </c>
    </row>
    <row r="14" spans="2:39">
      <c r="C14" s="694" t="s">
        <v>810</v>
      </c>
      <c r="D14" s="689">
        <v>4.9800796812749004</v>
      </c>
      <c r="E14" s="689">
        <v>23.804780876494025</v>
      </c>
      <c r="F14" s="689">
        <v>58.864541832669325</v>
      </c>
      <c r="G14" s="689">
        <v>11.603585657370518</v>
      </c>
      <c r="H14" s="689">
        <v>0.74701195219123506</v>
      </c>
      <c r="I14" s="690"/>
      <c r="J14" s="694" t="s">
        <v>810</v>
      </c>
      <c r="K14" s="689">
        <v>6.5532766383191596</v>
      </c>
      <c r="L14" s="689">
        <v>22.56128064032016</v>
      </c>
      <c r="M14" s="689">
        <v>52.776388194097045</v>
      </c>
      <c r="N14" s="689">
        <v>16.958479239619809</v>
      </c>
      <c r="O14" s="689">
        <v>1.150575287643822</v>
      </c>
    </row>
    <row r="15" spans="2:39">
      <c r="C15" s="694" t="s">
        <v>769</v>
      </c>
      <c r="D15" s="689">
        <v>4.8835462058602559</v>
      </c>
      <c r="E15" s="689">
        <v>21.036814425244177</v>
      </c>
      <c r="F15" s="689">
        <v>55.597295266716749</v>
      </c>
      <c r="G15" s="689">
        <v>17.280240420736291</v>
      </c>
      <c r="H15" s="689">
        <v>1.2021036814425246</v>
      </c>
      <c r="I15" s="690"/>
      <c r="J15" s="694" t="s">
        <v>769</v>
      </c>
      <c r="K15" s="689">
        <v>6.867924528301887</v>
      </c>
      <c r="L15" s="689">
        <v>17.433962264150942</v>
      </c>
      <c r="M15" s="689">
        <v>51.773584905660371</v>
      </c>
      <c r="N15" s="689">
        <v>21.358490566037737</v>
      </c>
      <c r="O15" s="689">
        <v>2.5660377358490565</v>
      </c>
    </row>
    <row r="16" spans="2:39">
      <c r="C16" s="694" t="s">
        <v>770</v>
      </c>
      <c r="D16" s="689">
        <v>6.1080657791699293</v>
      </c>
      <c r="E16" s="689">
        <v>20.986687548942832</v>
      </c>
      <c r="F16" s="689">
        <v>55.207517619420521</v>
      </c>
      <c r="G16" s="689">
        <v>16.366483946750197</v>
      </c>
      <c r="H16" s="689">
        <v>1.3312451057165231</v>
      </c>
      <c r="I16" s="690"/>
      <c r="J16" s="694" t="s">
        <v>770</v>
      </c>
      <c r="K16" s="689">
        <v>7.3151750972762652</v>
      </c>
      <c r="L16" s="689">
        <v>16.186770428015564</v>
      </c>
      <c r="M16" s="689">
        <v>48.171206225680933</v>
      </c>
      <c r="N16" s="689">
        <v>26.770428015564203</v>
      </c>
      <c r="O16" s="689">
        <v>1.556420233463035</v>
      </c>
    </row>
    <row r="17" spans="3:15">
      <c r="C17" s="694" t="s">
        <v>771</v>
      </c>
      <c r="D17" s="689">
        <v>5.9743509540193935</v>
      </c>
      <c r="E17" s="689">
        <v>25.148576790741323</v>
      </c>
      <c r="F17" s="689">
        <v>55.67719737253676</v>
      </c>
      <c r="G17" s="689">
        <v>11.948701908038787</v>
      </c>
      <c r="H17" s="689">
        <v>1.2511729746637474</v>
      </c>
      <c r="I17" s="690"/>
      <c r="J17" s="694" t="s">
        <v>771</v>
      </c>
      <c r="K17" s="689">
        <v>7.7526679221594481</v>
      </c>
      <c r="L17" s="689">
        <v>20.998116760828626</v>
      </c>
      <c r="M17" s="689">
        <v>52.887633396107972</v>
      </c>
      <c r="N17" s="689">
        <v>16.321406151914626</v>
      </c>
      <c r="O17" s="689">
        <v>2.0401757689893283</v>
      </c>
    </row>
    <row r="18" spans="3:15">
      <c r="C18" s="694" t="s">
        <v>772</v>
      </c>
      <c r="D18" s="689">
        <v>9.1777408637873759</v>
      </c>
      <c r="E18" s="689">
        <v>31.769102990033222</v>
      </c>
      <c r="F18" s="689">
        <v>50</v>
      </c>
      <c r="G18" s="689">
        <v>8.3887043189368757</v>
      </c>
      <c r="H18" s="689">
        <v>0.66445182724252494</v>
      </c>
      <c r="I18" s="690"/>
      <c r="J18" s="694" t="s">
        <v>772</v>
      </c>
      <c r="K18" s="689">
        <v>11.175496688741722</v>
      </c>
      <c r="L18" s="689">
        <v>25.455298013245031</v>
      </c>
      <c r="M18" s="689">
        <v>48.841059602649004</v>
      </c>
      <c r="N18" s="689">
        <v>13.617549668874171</v>
      </c>
      <c r="O18" s="689">
        <v>0.91059602649006621</v>
      </c>
    </row>
    <row r="19" spans="3:15">
      <c r="C19" s="694" t="s">
        <v>773</v>
      </c>
      <c r="D19" s="689">
        <v>6.8389057750759878</v>
      </c>
      <c r="E19" s="689">
        <v>28.368794326241137</v>
      </c>
      <c r="F19" s="689">
        <v>56.78824721377913</v>
      </c>
      <c r="G19" s="689">
        <v>7.8014184397163122</v>
      </c>
      <c r="H19" s="689">
        <v>0.2026342451874367</v>
      </c>
      <c r="I19" s="690"/>
      <c r="J19" s="694" t="s">
        <v>773</v>
      </c>
      <c r="K19" s="689">
        <v>9.2098641167589328</v>
      </c>
      <c r="L19" s="689">
        <v>25.566180171112229</v>
      </c>
      <c r="M19" s="689">
        <v>50.578761952692496</v>
      </c>
      <c r="N19" s="689">
        <v>14.343231001509812</v>
      </c>
      <c r="O19" s="689">
        <v>0.30196275792652238</v>
      </c>
    </row>
    <row r="20" spans="3:15">
      <c r="C20" s="694" t="s">
        <v>774</v>
      </c>
      <c r="D20" s="689">
        <v>3.8014783526927136</v>
      </c>
      <c r="E20" s="689">
        <v>17.212249208025344</v>
      </c>
      <c r="F20" s="689">
        <v>63.357972544878564</v>
      </c>
      <c r="G20" s="689">
        <v>14.6779303062302</v>
      </c>
      <c r="H20" s="689">
        <v>0.9503695881731784</v>
      </c>
      <c r="I20" s="690"/>
      <c r="J20" s="694" t="s">
        <v>774</v>
      </c>
      <c r="K20" s="689">
        <v>4.7219307450157402</v>
      </c>
      <c r="L20" s="689">
        <v>12.906610703043023</v>
      </c>
      <c r="M20" s="689">
        <v>57.712486883525706</v>
      </c>
      <c r="N20" s="689">
        <v>23.399790136411333</v>
      </c>
      <c r="O20" s="689">
        <v>1.2591815320041972</v>
      </c>
    </row>
    <row r="21" spans="3:15">
      <c r="C21" s="694" t="s">
        <v>811</v>
      </c>
      <c r="D21" s="689">
        <v>6.1546036435253564</v>
      </c>
      <c r="E21" s="689">
        <v>27.277203348104383</v>
      </c>
      <c r="F21" s="689">
        <v>56.031511570654843</v>
      </c>
      <c r="G21" s="689">
        <v>9.8966026587887743</v>
      </c>
      <c r="H21" s="689">
        <v>0.64007877892663712</v>
      </c>
      <c r="I21" s="690"/>
      <c r="J21" s="694" t="s">
        <v>811</v>
      </c>
      <c r="K21" s="689">
        <v>9.9703849950641654</v>
      </c>
      <c r="L21" s="689">
        <v>21.618953603158932</v>
      </c>
      <c r="M21" s="689">
        <v>53.849950641658438</v>
      </c>
      <c r="N21" s="689">
        <v>13.030602171767027</v>
      </c>
      <c r="O21" s="689">
        <v>1.5301085883514314</v>
      </c>
    </row>
    <row r="22" spans="3:15">
      <c r="C22" s="694" t="s">
        <v>776</v>
      </c>
      <c r="D22" s="689">
        <v>4.5248868778280542</v>
      </c>
      <c r="E22" s="689">
        <v>19.004524886877828</v>
      </c>
      <c r="F22" s="689">
        <v>61.990950226244344</v>
      </c>
      <c r="G22" s="689">
        <v>14.027149321266968</v>
      </c>
      <c r="H22" s="689">
        <v>0.45248868778280549</v>
      </c>
      <c r="I22" s="690"/>
      <c r="J22" s="694" t="s">
        <v>776</v>
      </c>
      <c r="K22" s="689">
        <v>7.4889867841409687</v>
      </c>
      <c r="L22" s="689">
        <v>16.740088105726873</v>
      </c>
      <c r="M22" s="689">
        <v>49.779735682819378</v>
      </c>
      <c r="N22" s="689">
        <v>25.991189427312776</v>
      </c>
      <c r="O22" s="689">
        <v>0</v>
      </c>
    </row>
    <row r="23" spans="3:15">
      <c r="C23" s="694" t="s">
        <v>777</v>
      </c>
      <c r="D23" s="689">
        <v>5.5045871559633035</v>
      </c>
      <c r="E23" s="689">
        <v>21.406727828746178</v>
      </c>
      <c r="F23" s="689">
        <v>56.574923547400616</v>
      </c>
      <c r="G23" s="689">
        <v>15.290519877675839</v>
      </c>
      <c r="H23" s="689">
        <v>1.2232415902140672</v>
      </c>
      <c r="I23" s="690"/>
      <c r="J23" s="694" t="s">
        <v>777</v>
      </c>
      <c r="K23" s="689">
        <v>4.2042042042042045</v>
      </c>
      <c r="L23" s="689">
        <v>18.318318318318319</v>
      </c>
      <c r="M23" s="689">
        <v>53.153153153153156</v>
      </c>
      <c r="N23" s="689">
        <v>21.021021021021021</v>
      </c>
      <c r="O23" s="689">
        <v>3.303303303303303</v>
      </c>
    </row>
    <row r="24" spans="3:15">
      <c r="C24" s="694" t="s">
        <v>778</v>
      </c>
      <c r="D24" s="689">
        <v>7.3025335320417284</v>
      </c>
      <c r="E24" s="689">
        <v>21.907600596125189</v>
      </c>
      <c r="F24" s="689">
        <v>56.482861400894194</v>
      </c>
      <c r="G24" s="689">
        <v>13.710879284649776</v>
      </c>
      <c r="H24" s="689">
        <v>0.5961251862891207</v>
      </c>
      <c r="I24" s="690"/>
      <c r="J24" s="694" t="s">
        <v>778</v>
      </c>
      <c r="K24" s="689">
        <v>7.0149253731343286</v>
      </c>
      <c r="L24" s="689">
        <v>21.791044776119403</v>
      </c>
      <c r="M24" s="689">
        <v>54.029850746268657</v>
      </c>
      <c r="N24" s="689">
        <v>17.014925373134329</v>
      </c>
      <c r="O24" s="689">
        <v>0.1492537313432836</v>
      </c>
    </row>
    <row r="25" spans="3:15">
      <c r="C25" s="694" t="s">
        <v>779</v>
      </c>
      <c r="D25" s="689">
        <v>6.9724770642201843</v>
      </c>
      <c r="E25" s="689">
        <v>28.073394495412845</v>
      </c>
      <c r="F25" s="689">
        <v>57.247706422018354</v>
      </c>
      <c r="G25" s="689">
        <v>7.522935779816514</v>
      </c>
      <c r="H25" s="689">
        <v>0.1834862385321101</v>
      </c>
      <c r="I25" s="690"/>
      <c r="J25" s="694" t="s">
        <v>779</v>
      </c>
      <c r="K25" s="689">
        <v>8.3788706739526422</v>
      </c>
      <c r="L25" s="689">
        <v>27.504553734061933</v>
      </c>
      <c r="M25" s="689">
        <v>48.998178506375226</v>
      </c>
      <c r="N25" s="689">
        <v>13.114754098360656</v>
      </c>
      <c r="O25" s="689">
        <v>2.0036429872495445</v>
      </c>
    </row>
    <row r="26" spans="3:15">
      <c r="C26" s="694" t="s">
        <v>780</v>
      </c>
      <c r="D26" s="689">
        <v>4.7413793103448274</v>
      </c>
      <c r="E26" s="689">
        <v>24.712643678160919</v>
      </c>
      <c r="F26" s="689">
        <v>62.068965517241381</v>
      </c>
      <c r="G26" s="689">
        <v>8.1896551724137936</v>
      </c>
      <c r="H26" s="689">
        <v>0.28735632183908044</v>
      </c>
      <c r="I26" s="690"/>
      <c r="J26" s="694" t="s">
        <v>780</v>
      </c>
      <c r="K26" s="689">
        <v>4.4222539229671902</v>
      </c>
      <c r="L26" s="689">
        <v>25.106990014265335</v>
      </c>
      <c r="M26" s="689">
        <v>51.355206847360911</v>
      </c>
      <c r="N26" s="689">
        <v>18.259629101283881</v>
      </c>
      <c r="O26" s="689">
        <v>0.85592011412268187</v>
      </c>
    </row>
    <row r="27" spans="3:15">
      <c r="C27" s="694" t="s">
        <v>781</v>
      </c>
      <c r="D27" s="689">
        <v>6.0504825538233113</v>
      </c>
      <c r="E27" s="689">
        <v>25.204157386785447</v>
      </c>
      <c r="F27" s="689">
        <v>57.01559020044543</v>
      </c>
      <c r="G27" s="689">
        <v>10.987379361544173</v>
      </c>
      <c r="H27" s="689">
        <v>0.74239049740163321</v>
      </c>
      <c r="I27" s="690"/>
      <c r="J27" s="694" t="s">
        <v>781</v>
      </c>
      <c r="K27" s="689">
        <v>7.8095946448493869</v>
      </c>
      <c r="L27" s="689">
        <v>21.792487913722574</v>
      </c>
      <c r="M27" s="689">
        <v>52.324284120490894</v>
      </c>
      <c r="N27" s="689">
        <v>17.404239494235778</v>
      </c>
      <c r="O27" s="689">
        <v>0.66939382670137604</v>
      </c>
    </row>
    <row r="28" spans="3:15">
      <c r="C28" s="694" t="s">
        <v>782</v>
      </c>
      <c r="D28" s="689">
        <v>7.5920724094881402</v>
      </c>
      <c r="E28" s="689">
        <v>29.346129837702872</v>
      </c>
      <c r="F28" s="689">
        <v>49.867353308364542</v>
      </c>
      <c r="G28" s="689">
        <v>12.14107365792759</v>
      </c>
      <c r="H28" s="689">
        <v>1.053370786516854</v>
      </c>
      <c r="I28" s="690"/>
      <c r="J28" s="694" t="s">
        <v>782</v>
      </c>
      <c r="K28" s="689">
        <v>10.3125</v>
      </c>
      <c r="L28" s="689">
        <v>22.90625</v>
      </c>
      <c r="M28" s="689">
        <v>45.5625</v>
      </c>
      <c r="N28" s="689">
        <v>19.515625</v>
      </c>
      <c r="O28" s="689">
        <v>1.703125</v>
      </c>
    </row>
    <row r="29" spans="3:15">
      <c r="C29" s="694" t="s">
        <v>783</v>
      </c>
      <c r="D29" s="689">
        <v>4.0198132977710044</v>
      </c>
      <c r="E29" s="689">
        <v>21.908935035244809</v>
      </c>
      <c r="F29" s="689">
        <v>57.896742236616497</v>
      </c>
      <c r="G29" s="689">
        <v>14.707563345399125</v>
      </c>
      <c r="H29" s="689">
        <v>1.4669460849685654</v>
      </c>
      <c r="I29" s="690"/>
      <c r="J29" s="694" t="s">
        <v>783</v>
      </c>
      <c r="K29" s="689">
        <v>5.7982071333206182</v>
      </c>
      <c r="L29" s="689">
        <v>15.63990082014114</v>
      </c>
      <c r="M29" s="689">
        <v>50.16212092313561</v>
      </c>
      <c r="N29" s="689">
        <v>25.748617203890902</v>
      </c>
      <c r="O29" s="689">
        <v>2.6511539195117297</v>
      </c>
    </row>
    <row r="30" spans="3:15">
      <c r="C30" s="694" t="s">
        <v>784</v>
      </c>
      <c r="D30" s="689">
        <v>4.5849802371541504</v>
      </c>
      <c r="E30" s="689">
        <v>27.430830039525695</v>
      </c>
      <c r="F30" s="689">
        <v>53.122529644268781</v>
      </c>
      <c r="G30" s="689">
        <v>13.201581027667983</v>
      </c>
      <c r="H30" s="689">
        <v>1.6600790513833994</v>
      </c>
      <c r="I30" s="690"/>
      <c r="J30" s="694" t="s">
        <v>784</v>
      </c>
      <c r="K30" s="689">
        <v>7.3190135242641219</v>
      </c>
      <c r="L30" s="689">
        <v>22.195704057279237</v>
      </c>
      <c r="M30" s="689">
        <v>51.869530628480511</v>
      </c>
      <c r="N30" s="689">
        <v>16.706443914081145</v>
      </c>
      <c r="O30" s="689">
        <v>1.9093078758949882</v>
      </c>
    </row>
    <row r="31" spans="3:15">
      <c r="C31" s="694" t="s">
        <v>785</v>
      </c>
      <c r="D31" s="689">
        <v>3.7037037037037033</v>
      </c>
      <c r="E31" s="689">
        <v>23.521767381416502</v>
      </c>
      <c r="F31" s="689">
        <v>58.9993502274204</v>
      </c>
      <c r="G31" s="689">
        <v>12.670565302144249</v>
      </c>
      <c r="H31" s="689">
        <v>1.1046133853151396</v>
      </c>
      <c r="I31" s="690"/>
      <c r="J31" s="694" t="s">
        <v>785</v>
      </c>
      <c r="K31" s="689">
        <v>4.3848167539267013</v>
      </c>
      <c r="L31" s="689">
        <v>16.623036649214658</v>
      </c>
      <c r="M31" s="689">
        <v>55.6282722513089</v>
      </c>
      <c r="N31" s="689">
        <v>22.316753926701573</v>
      </c>
      <c r="O31" s="689">
        <v>1.0471204188481675</v>
      </c>
    </row>
    <row r="32" spans="3:15">
      <c r="C32" s="694" t="s">
        <v>786</v>
      </c>
      <c r="D32" s="689">
        <v>1.8480492813141685</v>
      </c>
      <c r="E32" s="689">
        <v>22.587268993839835</v>
      </c>
      <c r="F32" s="689">
        <v>59.54825462012321</v>
      </c>
      <c r="G32" s="689">
        <v>14.37371663244353</v>
      </c>
      <c r="H32" s="689">
        <v>1.6427104722792609</v>
      </c>
      <c r="I32" s="690"/>
      <c r="J32" s="694" t="s">
        <v>786</v>
      </c>
      <c r="K32" s="689">
        <v>2.8747433264887063</v>
      </c>
      <c r="L32" s="689">
        <v>13.552361396303903</v>
      </c>
      <c r="M32" s="689">
        <v>58.316221765913753</v>
      </c>
      <c r="N32" s="689">
        <v>25.051334702258725</v>
      </c>
      <c r="O32" s="689">
        <v>0.20533880903490762</v>
      </c>
    </row>
    <row r="33" spans="3:15">
      <c r="C33" s="694" t="s">
        <v>787</v>
      </c>
      <c r="D33" s="689">
        <v>5.4140127388535033</v>
      </c>
      <c r="E33" s="689">
        <v>18.577494692144374</v>
      </c>
      <c r="F33" s="689">
        <v>59.660297239915074</v>
      </c>
      <c r="G33" s="689">
        <v>14.437367303609342</v>
      </c>
      <c r="H33" s="689">
        <v>1.910828025477707</v>
      </c>
      <c r="I33" s="690"/>
      <c r="J33" s="694" t="s">
        <v>787</v>
      </c>
      <c r="K33" s="689">
        <v>5.8823529411764701</v>
      </c>
      <c r="L33" s="689">
        <v>17.754010695187166</v>
      </c>
      <c r="M33" s="689">
        <v>49.62566844919786</v>
      </c>
      <c r="N33" s="689">
        <v>23.957219251336898</v>
      </c>
      <c r="O33" s="689">
        <v>2.7807486631016043</v>
      </c>
    </row>
    <row r="34" spans="3:15">
      <c r="C34" s="694" t="s">
        <v>788</v>
      </c>
      <c r="D34" s="689">
        <v>5.8974358974358969</v>
      </c>
      <c r="E34" s="689">
        <v>27.5</v>
      </c>
      <c r="F34" s="689">
        <v>54.230769230769226</v>
      </c>
      <c r="G34" s="689">
        <v>11.602564102564102</v>
      </c>
      <c r="H34" s="689">
        <v>0.76923076923076927</v>
      </c>
      <c r="I34" s="690"/>
      <c r="J34" s="694" t="s">
        <v>788</v>
      </c>
      <c r="K34" s="689">
        <v>6.2901155327342746</v>
      </c>
      <c r="L34" s="689">
        <v>19.383825417201543</v>
      </c>
      <c r="M34" s="689">
        <v>50.38510911424904</v>
      </c>
      <c r="N34" s="689">
        <v>22.20795892169448</v>
      </c>
      <c r="O34" s="689">
        <v>1.7329910141206675</v>
      </c>
    </row>
    <row r="35" spans="3:15">
      <c r="C35" s="694" t="s">
        <v>789</v>
      </c>
      <c r="D35" s="689">
        <v>3.4285714285714288</v>
      </c>
      <c r="E35" s="689">
        <v>20.457142857142856</v>
      </c>
      <c r="F35" s="689">
        <v>57.25714285714286</v>
      </c>
      <c r="G35" s="689">
        <v>16.571428571428569</v>
      </c>
      <c r="H35" s="689">
        <v>2.2857142857142856</v>
      </c>
      <c r="I35" s="690"/>
      <c r="J35" s="694" t="s">
        <v>789</v>
      </c>
      <c r="K35" s="689">
        <v>6.0364464692482915</v>
      </c>
      <c r="L35" s="689">
        <v>18.109339407744876</v>
      </c>
      <c r="M35" s="689">
        <v>50.683371298405469</v>
      </c>
      <c r="N35" s="689">
        <v>22.779043280182233</v>
      </c>
      <c r="O35" s="689">
        <v>2.3917995444191344</v>
      </c>
    </row>
    <row r="36" spans="3:15">
      <c r="C36" s="694" t="s">
        <v>685</v>
      </c>
      <c r="D36" s="689">
        <v>3.3715925394548063</v>
      </c>
      <c r="E36" s="689">
        <v>19.655667144906744</v>
      </c>
      <c r="F36" s="689">
        <v>57.711621233859404</v>
      </c>
      <c r="G36" s="689">
        <v>17.467718794835008</v>
      </c>
      <c r="H36" s="689">
        <v>1.7934002869440457</v>
      </c>
      <c r="I36" s="690"/>
      <c r="J36" s="694" t="s">
        <v>685</v>
      </c>
      <c r="K36" s="689">
        <v>4.630969609261939</v>
      </c>
      <c r="L36" s="689">
        <v>15.231548480463097</v>
      </c>
      <c r="M36" s="689">
        <v>55.897250361794505</v>
      </c>
      <c r="N36" s="689">
        <v>21.924746743849493</v>
      </c>
      <c r="O36" s="689">
        <v>2.3154848046309695</v>
      </c>
    </row>
    <row r="37" spans="3:15">
      <c r="C37" s="694" t="s">
        <v>819</v>
      </c>
      <c r="D37" s="689">
        <v>4.3656908063687725</v>
      </c>
      <c r="E37" s="689">
        <v>20.184899845916796</v>
      </c>
      <c r="F37" s="689">
        <v>60.297894196199287</v>
      </c>
      <c r="G37" s="689">
        <v>14.227015921931176</v>
      </c>
      <c r="H37" s="689">
        <v>0.92449922958397546</v>
      </c>
      <c r="I37" s="690"/>
      <c r="J37" s="694" t="s">
        <v>819</v>
      </c>
      <c r="K37" s="689">
        <v>5.2442159383033422</v>
      </c>
      <c r="L37" s="689">
        <v>16.709511568123396</v>
      </c>
      <c r="M37" s="689">
        <v>53.984575835475582</v>
      </c>
      <c r="N37" s="689">
        <v>23.136246786632391</v>
      </c>
      <c r="O37" s="689">
        <v>0.92544987146529567</v>
      </c>
    </row>
    <row r="38" spans="3:15">
      <c r="C38" s="662" t="s">
        <v>469</v>
      </c>
      <c r="D38" s="663">
        <v>6.0002819681376005</v>
      </c>
      <c r="E38" s="663">
        <v>25.031721415480053</v>
      </c>
      <c r="F38" s="663">
        <v>55.274214013816433</v>
      </c>
      <c r="G38" s="663">
        <v>12.685746510644297</v>
      </c>
      <c r="H38" s="664">
        <v>1.0080360919216129</v>
      </c>
      <c r="I38" s="690"/>
      <c r="J38" s="662" t="s">
        <v>469</v>
      </c>
      <c r="K38" s="663">
        <v>7.9135269381649875</v>
      </c>
      <c r="L38" s="663">
        <v>20.630485705415854</v>
      </c>
      <c r="M38" s="663">
        <v>50.505178788135353</v>
      </c>
      <c r="N38" s="663">
        <v>19.35201648181074</v>
      </c>
      <c r="O38" s="664">
        <v>1.598792086473062</v>
      </c>
    </row>
    <row r="39" spans="3:15"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3:15">
      <c r="C40" s="90"/>
      <c r="D40" s="90"/>
      <c r="E40" s="90"/>
      <c r="F40" s="90"/>
      <c r="G40" s="90"/>
      <c r="H40" s="638" t="s">
        <v>332</v>
      </c>
      <c r="I40" s="90"/>
      <c r="J40" s="90"/>
      <c r="K40" s="90"/>
      <c r="L40" s="90"/>
      <c r="M40" s="90"/>
      <c r="N40" s="90"/>
      <c r="O40" s="638" t="s">
        <v>332</v>
      </c>
    </row>
    <row r="41" spans="3:15" ht="15.75" thickBot="1">
      <c r="C41" s="1262" t="s">
        <v>813</v>
      </c>
      <c r="D41" s="1263"/>
      <c r="E41" s="1263"/>
      <c r="F41" s="1263"/>
      <c r="G41" s="1263"/>
      <c r="H41" s="1263"/>
      <c r="I41" s="90"/>
      <c r="J41" s="1262" t="s">
        <v>814</v>
      </c>
      <c r="K41" s="1263"/>
      <c r="L41" s="1263"/>
      <c r="M41" s="1263"/>
      <c r="N41" s="1263"/>
      <c r="O41" s="1263"/>
    </row>
    <row r="42" spans="3:15" ht="15.75" thickBot="1">
      <c r="C42" s="1264" t="s">
        <v>762</v>
      </c>
      <c r="D42" s="1266" t="s">
        <v>536</v>
      </c>
      <c r="E42" s="1267"/>
      <c r="F42" s="1267"/>
      <c r="G42" s="1267"/>
      <c r="H42" s="1267"/>
      <c r="I42" s="90"/>
      <c r="J42" s="1264" t="s">
        <v>762</v>
      </c>
      <c r="K42" s="1266" t="s">
        <v>536</v>
      </c>
      <c r="L42" s="1267"/>
      <c r="M42" s="1267"/>
      <c r="N42" s="1267"/>
      <c r="O42" s="1267"/>
    </row>
    <row r="43" spans="3:15">
      <c r="C43" s="1265"/>
      <c r="D43" s="692" t="s">
        <v>815</v>
      </c>
      <c r="E43" s="692" t="s">
        <v>816</v>
      </c>
      <c r="F43" s="692" t="s">
        <v>807</v>
      </c>
      <c r="G43" s="692" t="s">
        <v>817</v>
      </c>
      <c r="H43" s="693" t="s">
        <v>818</v>
      </c>
      <c r="I43" s="90"/>
      <c r="J43" s="1265"/>
      <c r="K43" s="692" t="s">
        <v>815</v>
      </c>
      <c r="L43" s="692" t="s">
        <v>816</v>
      </c>
      <c r="M43" s="692" t="s">
        <v>807</v>
      </c>
      <c r="N43" s="692" t="s">
        <v>817</v>
      </c>
      <c r="O43" s="693" t="s">
        <v>818</v>
      </c>
    </row>
    <row r="44" spans="3:15">
      <c r="C44" s="694" t="s">
        <v>809</v>
      </c>
      <c r="D44" s="689">
        <v>13.134120917303683</v>
      </c>
      <c r="E44" s="689">
        <v>35.858234885337041</v>
      </c>
      <c r="F44" s="689">
        <v>44.683808200138984</v>
      </c>
      <c r="G44" s="689">
        <v>6.323835997220292</v>
      </c>
      <c r="H44" s="689">
        <v>0</v>
      </c>
      <c r="I44" s="90"/>
      <c r="J44" s="694" t="s">
        <v>809</v>
      </c>
      <c r="K44" s="689">
        <v>7.9221681723419035</v>
      </c>
      <c r="L44" s="689">
        <v>26.059763724808892</v>
      </c>
      <c r="M44" s="689">
        <v>53.300903405142463</v>
      </c>
      <c r="N44" s="689">
        <v>12.647671994440584</v>
      </c>
      <c r="O44" s="689">
        <v>6.9492703266157058E-2</v>
      </c>
    </row>
    <row r="45" spans="3:15">
      <c r="C45" s="694" t="s">
        <v>764</v>
      </c>
      <c r="D45" s="689">
        <v>14.19141914191419</v>
      </c>
      <c r="E45" s="689">
        <v>35.313531353135311</v>
      </c>
      <c r="F45" s="689">
        <v>45.361202786945363</v>
      </c>
      <c r="G45" s="689">
        <v>4.8038137147048037</v>
      </c>
      <c r="H45" s="689">
        <v>0.33003300330033003</v>
      </c>
      <c r="I45" s="90"/>
      <c r="J45" s="694" t="s">
        <v>764</v>
      </c>
      <c r="K45" s="689">
        <v>10.960410557184751</v>
      </c>
      <c r="L45" s="689">
        <v>24.450146627565982</v>
      </c>
      <c r="M45" s="689">
        <v>49.853372434017594</v>
      </c>
      <c r="N45" s="689">
        <v>14.149560117302054</v>
      </c>
      <c r="O45" s="689">
        <v>0.5865102639296188</v>
      </c>
    </row>
    <row r="46" spans="3:15">
      <c r="C46" s="694" t="s">
        <v>765</v>
      </c>
      <c r="D46" s="689">
        <v>10.845540992032896</v>
      </c>
      <c r="E46" s="689">
        <v>33.487535337959393</v>
      </c>
      <c r="F46" s="689">
        <v>49.910048830634793</v>
      </c>
      <c r="G46" s="689">
        <v>5.7054741711642247</v>
      </c>
      <c r="H46" s="689">
        <v>5.1400668208686717E-2</v>
      </c>
      <c r="I46" s="90"/>
      <c r="J46" s="694" t="s">
        <v>765</v>
      </c>
      <c r="K46" s="689">
        <v>7.8169195165852399</v>
      </c>
      <c r="L46" s="689">
        <v>22.139367446644382</v>
      </c>
      <c r="M46" s="689">
        <v>56.312676780663409</v>
      </c>
      <c r="N46" s="689">
        <v>13.088197480071997</v>
      </c>
      <c r="O46" s="689">
        <v>0.64283877603497042</v>
      </c>
    </row>
    <row r="47" spans="3:15">
      <c r="C47" s="694" t="s">
        <v>766</v>
      </c>
      <c r="D47" s="689">
        <v>14.086770219603642</v>
      </c>
      <c r="E47" s="689">
        <v>37.680771290840923</v>
      </c>
      <c r="F47" s="689">
        <v>43.036957686127472</v>
      </c>
      <c r="G47" s="689">
        <v>4.9544724156400637</v>
      </c>
      <c r="H47" s="689">
        <v>0.24102838778789501</v>
      </c>
      <c r="I47" s="90"/>
      <c r="J47" s="694" t="s">
        <v>766</v>
      </c>
      <c r="K47" s="689">
        <v>11.021613639414687</v>
      </c>
      <c r="L47" s="689">
        <v>24.593905222177472</v>
      </c>
      <c r="M47" s="689">
        <v>48.516579406631763</v>
      </c>
      <c r="N47" s="689">
        <v>14.820781312927911</v>
      </c>
      <c r="O47" s="689">
        <v>1.0471204188481675</v>
      </c>
    </row>
    <row r="48" spans="3:15">
      <c r="C48" s="694" t="s">
        <v>767</v>
      </c>
      <c r="D48" s="689">
        <v>6.9051167411823151</v>
      </c>
      <c r="E48" s="689">
        <v>29.234972677595628</v>
      </c>
      <c r="F48" s="689">
        <v>54.893194237456534</v>
      </c>
      <c r="G48" s="689">
        <v>8.5692995529061111</v>
      </c>
      <c r="H48" s="689">
        <v>0.39741679085941384</v>
      </c>
      <c r="I48" s="90"/>
      <c r="J48" s="694" t="s">
        <v>767</v>
      </c>
      <c r="K48" s="689">
        <v>4.8222719363658957</v>
      </c>
      <c r="L48" s="689">
        <v>17.872234650758141</v>
      </c>
      <c r="M48" s="689">
        <v>55.282127765349244</v>
      </c>
      <c r="N48" s="689">
        <v>21.053939845886156</v>
      </c>
      <c r="O48" s="689">
        <v>0.9694258016405668</v>
      </c>
    </row>
    <row r="49" spans="3:15">
      <c r="C49" s="694" t="s">
        <v>810</v>
      </c>
      <c r="D49" s="689">
        <v>9.2045454545454533</v>
      </c>
      <c r="E49" s="689">
        <v>35</v>
      </c>
      <c r="F49" s="689">
        <v>48.352272727272727</v>
      </c>
      <c r="G49" s="689">
        <v>7.4431818181818183</v>
      </c>
      <c r="H49" s="689">
        <v>0</v>
      </c>
      <c r="I49" s="90"/>
      <c r="J49" s="694" t="s">
        <v>810</v>
      </c>
      <c r="K49" s="689">
        <v>6.4883323847467267</v>
      </c>
      <c r="L49" s="689">
        <v>22.652248150256117</v>
      </c>
      <c r="M49" s="689">
        <v>53.898690950483775</v>
      </c>
      <c r="N49" s="689">
        <v>16.391576550939103</v>
      </c>
      <c r="O49" s="689">
        <v>0.56915196357427433</v>
      </c>
    </row>
    <row r="50" spans="3:15">
      <c r="C50" s="694" t="s">
        <v>769</v>
      </c>
      <c r="D50" s="689">
        <v>12.45674740484429</v>
      </c>
      <c r="E50" s="689">
        <v>33.131487889273359</v>
      </c>
      <c r="F50" s="689">
        <v>46.366782006920417</v>
      </c>
      <c r="G50" s="689">
        <v>7.6989619377162626</v>
      </c>
      <c r="H50" s="689">
        <v>0.34602076124567477</v>
      </c>
      <c r="I50" s="90"/>
      <c r="J50" s="694" t="s">
        <v>769</v>
      </c>
      <c r="K50" s="689">
        <v>9.6689895470383274</v>
      </c>
      <c r="L50" s="689">
        <v>22.73519163763066</v>
      </c>
      <c r="M50" s="689">
        <v>47.560975609756099</v>
      </c>
      <c r="N50" s="689">
        <v>18.554006968641115</v>
      </c>
      <c r="O50" s="689">
        <v>1.480836236933798</v>
      </c>
    </row>
    <row r="51" spans="3:15">
      <c r="C51" s="694" t="s">
        <v>770</v>
      </c>
      <c r="D51" s="689">
        <v>15.130434782608695</v>
      </c>
      <c r="E51" s="689">
        <v>32.434782608695649</v>
      </c>
      <c r="F51" s="689">
        <v>46</v>
      </c>
      <c r="G51" s="689">
        <v>6.0869565217391308</v>
      </c>
      <c r="H51" s="689">
        <v>0.34782608695652173</v>
      </c>
      <c r="I51" s="90"/>
      <c r="J51" s="694" t="s">
        <v>770</v>
      </c>
      <c r="K51" s="689">
        <v>9.5196506550218345</v>
      </c>
      <c r="L51" s="689">
        <v>20.698689956331879</v>
      </c>
      <c r="M51" s="689">
        <v>48.733624454148469</v>
      </c>
      <c r="N51" s="689">
        <v>20.174672489082969</v>
      </c>
      <c r="O51" s="689">
        <v>0.87336244541484709</v>
      </c>
    </row>
    <row r="52" spans="3:15">
      <c r="C52" s="694" t="s">
        <v>771</v>
      </c>
      <c r="D52" s="689">
        <v>12.080766598220396</v>
      </c>
      <c r="E52" s="689">
        <v>36.173853524982889</v>
      </c>
      <c r="F52" s="689">
        <v>46.269678302532512</v>
      </c>
      <c r="G52" s="689">
        <v>5.1676933607118416</v>
      </c>
      <c r="H52" s="689">
        <v>0.30800821355236141</v>
      </c>
      <c r="I52" s="90"/>
      <c r="J52" s="694" t="s">
        <v>771</v>
      </c>
      <c r="K52" s="689">
        <v>8.0191912268677186</v>
      </c>
      <c r="L52" s="689">
        <v>24.880054832076766</v>
      </c>
      <c r="M52" s="689">
        <v>51.473612063056883</v>
      </c>
      <c r="N52" s="689">
        <v>14.633310486634683</v>
      </c>
      <c r="O52" s="689">
        <v>0.99383139136394794</v>
      </c>
    </row>
    <row r="53" spans="3:15">
      <c r="C53" s="694" t="s">
        <v>772</v>
      </c>
      <c r="D53" s="689">
        <v>14.946921443736731</v>
      </c>
      <c r="E53" s="689">
        <v>43.651804670912952</v>
      </c>
      <c r="F53" s="689">
        <v>38.726114649681534</v>
      </c>
      <c r="G53" s="689">
        <v>2.6751592356687901</v>
      </c>
      <c r="H53" s="689">
        <v>0</v>
      </c>
      <c r="I53" s="90"/>
      <c r="J53" s="694" t="s">
        <v>772</v>
      </c>
      <c r="K53" s="689">
        <v>11.393477340110122</v>
      </c>
      <c r="L53" s="689">
        <v>28.46251588310038</v>
      </c>
      <c r="M53" s="689">
        <v>49.851757729775521</v>
      </c>
      <c r="N53" s="689">
        <v>9.6569250317661997</v>
      </c>
      <c r="O53" s="689">
        <v>0.63532401524777637</v>
      </c>
    </row>
    <row r="54" spans="3:15">
      <c r="C54" s="694" t="s">
        <v>773</v>
      </c>
      <c r="D54" s="689">
        <v>14.372163388804839</v>
      </c>
      <c r="E54" s="689">
        <v>39.082198688855271</v>
      </c>
      <c r="F54" s="689">
        <v>43.318204740292487</v>
      </c>
      <c r="G54" s="689">
        <v>3.0761472516389308</v>
      </c>
      <c r="H54" s="689">
        <v>0.15128593040847202</v>
      </c>
      <c r="I54" s="90"/>
      <c r="J54" s="694" t="s">
        <v>773</v>
      </c>
      <c r="K54" s="689">
        <v>9.3105183694011071</v>
      </c>
      <c r="L54" s="689">
        <v>28.736789129340718</v>
      </c>
      <c r="M54" s="689">
        <v>51.283341721187725</v>
      </c>
      <c r="N54" s="689">
        <v>10.216406643180674</v>
      </c>
      <c r="O54" s="689">
        <v>0.45294413688978363</v>
      </c>
    </row>
    <row r="55" spans="3:15">
      <c r="C55" s="694" t="s">
        <v>774</v>
      </c>
      <c r="D55" s="689">
        <v>6.9154774972557638</v>
      </c>
      <c r="E55" s="689">
        <v>30.515916575192097</v>
      </c>
      <c r="F55" s="689">
        <v>53.018660812294186</v>
      </c>
      <c r="G55" s="689">
        <v>9.2206366630076833</v>
      </c>
      <c r="H55" s="689">
        <v>0.32930845225027439</v>
      </c>
      <c r="I55" s="90"/>
      <c r="J55" s="694" t="s">
        <v>774</v>
      </c>
      <c r="K55" s="689">
        <v>4.5851528384279483</v>
      </c>
      <c r="L55" s="689">
        <v>20.087336244541483</v>
      </c>
      <c r="M55" s="689">
        <v>54.91266375545851</v>
      </c>
      <c r="N55" s="689">
        <v>19.104803493449783</v>
      </c>
      <c r="O55" s="689">
        <v>1.3100436681222707</v>
      </c>
    </row>
    <row r="56" spans="3:15">
      <c r="C56" s="694" t="s">
        <v>811</v>
      </c>
      <c r="D56" s="689">
        <v>12.614445574771107</v>
      </c>
      <c r="E56" s="689">
        <v>39.064089521871821</v>
      </c>
      <c r="F56" s="689">
        <v>44.506612410986776</v>
      </c>
      <c r="G56" s="689">
        <v>3.6622583926754833</v>
      </c>
      <c r="H56" s="689">
        <v>0.1525940996948118</v>
      </c>
      <c r="I56" s="90"/>
      <c r="J56" s="694" t="s">
        <v>811</v>
      </c>
      <c r="K56" s="689">
        <v>10.132382892057027</v>
      </c>
      <c r="L56" s="689">
        <v>28.564154786150713</v>
      </c>
      <c r="M56" s="689">
        <v>49.694501018329937</v>
      </c>
      <c r="N56" s="689">
        <v>11.09979633401222</v>
      </c>
      <c r="O56" s="689">
        <v>0.50916496945010181</v>
      </c>
    </row>
    <row r="57" spans="3:15">
      <c r="C57" s="694" t="s">
        <v>776</v>
      </c>
      <c r="D57" s="689">
        <v>13.364055299539171</v>
      </c>
      <c r="E57" s="689">
        <v>36.866359447004612</v>
      </c>
      <c r="F57" s="689">
        <v>43.317972350230413</v>
      </c>
      <c r="G57" s="689">
        <v>6.4516129032258061</v>
      </c>
      <c r="H57" s="689">
        <v>0</v>
      </c>
      <c r="I57" s="90"/>
      <c r="J57" s="694" t="s">
        <v>776</v>
      </c>
      <c r="K57" s="689">
        <v>6.7873303167420813</v>
      </c>
      <c r="L57" s="689">
        <v>28.959276018099551</v>
      </c>
      <c r="M57" s="689">
        <v>48.41628959276018</v>
      </c>
      <c r="N57" s="689">
        <v>15.384615384615385</v>
      </c>
      <c r="O57" s="689">
        <v>0.45248868778280549</v>
      </c>
    </row>
    <row r="58" spans="3:15">
      <c r="C58" s="694" t="s">
        <v>777</v>
      </c>
      <c r="D58" s="689">
        <v>12.944983818770226</v>
      </c>
      <c r="E58" s="689">
        <v>36.893203883495147</v>
      </c>
      <c r="F58" s="689">
        <v>40.776699029126213</v>
      </c>
      <c r="G58" s="689">
        <v>9.3851132686084142</v>
      </c>
      <c r="H58" s="689">
        <v>0</v>
      </c>
      <c r="I58" s="90"/>
      <c r="J58" s="694" t="s">
        <v>777</v>
      </c>
      <c r="K58" s="689">
        <v>4.823151125401929</v>
      </c>
      <c r="L58" s="689">
        <v>28.617363344051448</v>
      </c>
      <c r="M58" s="689">
        <v>50.160771704180064</v>
      </c>
      <c r="N58" s="689">
        <v>14.790996784565916</v>
      </c>
      <c r="O58" s="689">
        <v>1.607717041800643</v>
      </c>
    </row>
    <row r="59" spans="3:15">
      <c r="C59" s="694" t="s">
        <v>778</v>
      </c>
      <c r="D59" s="689">
        <v>12.312811980033278</v>
      </c>
      <c r="E59" s="689">
        <v>33.610648918469217</v>
      </c>
      <c r="F59" s="689">
        <v>48.086522462562399</v>
      </c>
      <c r="G59" s="689">
        <v>5.8236272878535766</v>
      </c>
      <c r="H59" s="689">
        <v>0.16638935108153077</v>
      </c>
      <c r="I59" s="90"/>
      <c r="J59" s="694" t="s">
        <v>778</v>
      </c>
      <c r="K59" s="689">
        <v>9.8169717138103163</v>
      </c>
      <c r="L59" s="689">
        <v>22.795341098169715</v>
      </c>
      <c r="M59" s="689">
        <v>52.246256239600662</v>
      </c>
      <c r="N59" s="689">
        <v>14.808652246256241</v>
      </c>
      <c r="O59" s="689">
        <v>0.33277870216306155</v>
      </c>
    </row>
    <row r="60" spans="3:15">
      <c r="C60" s="694" t="s">
        <v>779</v>
      </c>
      <c r="D60" s="689">
        <v>12.363636363636363</v>
      </c>
      <c r="E60" s="689">
        <v>46.36363636363636</v>
      </c>
      <c r="F60" s="689">
        <v>36.363636363636367</v>
      </c>
      <c r="G60" s="689">
        <v>4.9090909090909092</v>
      </c>
      <c r="H60" s="689">
        <v>0</v>
      </c>
      <c r="I60" s="90"/>
      <c r="J60" s="694" t="s">
        <v>779</v>
      </c>
      <c r="K60" s="689">
        <v>8.2116788321167888</v>
      </c>
      <c r="L60" s="689">
        <v>26.824817518248175</v>
      </c>
      <c r="M60" s="689">
        <v>51.459854014598541</v>
      </c>
      <c r="N60" s="689">
        <v>12.773722627737227</v>
      </c>
      <c r="O60" s="689">
        <v>0.72992700729927007</v>
      </c>
    </row>
    <row r="61" spans="3:15">
      <c r="C61" s="694" t="s">
        <v>780</v>
      </c>
      <c r="D61" s="689">
        <v>12.297734627831716</v>
      </c>
      <c r="E61" s="689">
        <v>35.760517799352755</v>
      </c>
      <c r="F61" s="689">
        <v>48.05825242718447</v>
      </c>
      <c r="G61" s="689">
        <v>3.8834951456310676</v>
      </c>
      <c r="H61" s="689">
        <v>0</v>
      </c>
      <c r="I61" s="90"/>
      <c r="J61" s="694" t="s">
        <v>780</v>
      </c>
      <c r="K61" s="689">
        <v>6.8515497553017948</v>
      </c>
      <c r="L61" s="689">
        <v>18.270799347471453</v>
      </c>
      <c r="M61" s="689">
        <v>60.52202283849919</v>
      </c>
      <c r="N61" s="689">
        <v>13.376835236541599</v>
      </c>
      <c r="O61" s="689">
        <v>0.97879282218597052</v>
      </c>
    </row>
    <row r="62" spans="3:15">
      <c r="C62" s="694" t="s">
        <v>781</v>
      </c>
      <c r="D62" s="689">
        <v>12.297989751675207</v>
      </c>
      <c r="E62" s="689">
        <v>34.489554592037841</v>
      </c>
      <c r="F62" s="689">
        <v>49.034292471422944</v>
      </c>
      <c r="G62" s="689">
        <v>3.8234134804887661</v>
      </c>
      <c r="H62" s="689">
        <v>0.35474970437524633</v>
      </c>
      <c r="I62" s="90"/>
      <c r="J62" s="694" t="s">
        <v>781</v>
      </c>
      <c r="K62" s="689">
        <v>8.4518167456556075</v>
      </c>
      <c r="L62" s="689">
        <v>22.709320695102686</v>
      </c>
      <c r="M62" s="689">
        <v>54.107424960505533</v>
      </c>
      <c r="N62" s="689">
        <v>14.257503949447079</v>
      </c>
      <c r="O62" s="689">
        <v>0.47393364928909953</v>
      </c>
    </row>
    <row r="63" spans="3:15">
      <c r="C63" s="694" t="s">
        <v>782</v>
      </c>
      <c r="D63" s="689">
        <v>13.852498786996604</v>
      </c>
      <c r="E63" s="689">
        <v>36.090894387837622</v>
      </c>
      <c r="F63" s="689">
        <v>43.296134562510105</v>
      </c>
      <c r="G63" s="689">
        <v>6.3642244864952291</v>
      </c>
      <c r="H63" s="689">
        <v>0.39624777616043994</v>
      </c>
      <c r="I63" s="90"/>
      <c r="J63" s="694" t="s">
        <v>782</v>
      </c>
      <c r="K63" s="689">
        <v>10.783357711685357</v>
      </c>
      <c r="L63" s="689">
        <v>23.939541686981961</v>
      </c>
      <c r="M63" s="689">
        <v>45.758166747927845</v>
      </c>
      <c r="N63" s="689">
        <v>18.129367788070859</v>
      </c>
      <c r="O63" s="689">
        <v>1.3895660653339834</v>
      </c>
    </row>
    <row r="64" spans="3:15">
      <c r="C64" s="694" t="s">
        <v>783</v>
      </c>
      <c r="D64" s="689">
        <v>8.3807973962571189</v>
      </c>
      <c r="E64" s="689">
        <v>31.082180634662326</v>
      </c>
      <c r="F64" s="689">
        <v>53.275020341741254</v>
      </c>
      <c r="G64" s="689">
        <v>6.9161920260374297</v>
      </c>
      <c r="H64" s="689">
        <v>0.34580960130187144</v>
      </c>
      <c r="I64" s="90"/>
      <c r="J64" s="694" t="s">
        <v>783</v>
      </c>
      <c r="K64" s="689">
        <v>5.3319713993871298</v>
      </c>
      <c r="L64" s="689">
        <v>17.732379979570993</v>
      </c>
      <c r="M64" s="689">
        <v>52.788559754851896</v>
      </c>
      <c r="N64" s="689">
        <v>22.696629213483146</v>
      </c>
      <c r="O64" s="689">
        <v>1.4504596527068436</v>
      </c>
    </row>
    <row r="65" spans="3:15">
      <c r="C65" s="694" t="s">
        <v>784</v>
      </c>
      <c r="D65" s="689">
        <v>14.514835605453088</v>
      </c>
      <c r="E65" s="689">
        <v>35.765838011226947</v>
      </c>
      <c r="F65" s="689">
        <v>44.667201283079386</v>
      </c>
      <c r="G65" s="689">
        <v>4.8917401764234159</v>
      </c>
      <c r="H65" s="689">
        <v>0.16038492381716118</v>
      </c>
      <c r="I65" s="90"/>
      <c r="J65" s="694" t="s">
        <v>784</v>
      </c>
      <c r="K65" s="689">
        <v>8.8282504012841088</v>
      </c>
      <c r="L65" s="689">
        <v>25.521669341894061</v>
      </c>
      <c r="M65" s="689">
        <v>52.086677367576243</v>
      </c>
      <c r="N65" s="689">
        <v>12.279293739967898</v>
      </c>
      <c r="O65" s="689">
        <v>1.2841091492776886</v>
      </c>
    </row>
    <row r="66" spans="3:15">
      <c r="C66" s="694" t="s">
        <v>785</v>
      </c>
      <c r="D66" s="689">
        <v>8.8274932614555262</v>
      </c>
      <c r="E66" s="689">
        <v>34.703504043126685</v>
      </c>
      <c r="F66" s="689">
        <v>51.684636118598384</v>
      </c>
      <c r="G66" s="689">
        <v>4.5148247978436657</v>
      </c>
      <c r="H66" s="689">
        <v>0.26954177897574128</v>
      </c>
      <c r="I66" s="90"/>
      <c r="J66" s="694" t="s">
        <v>785</v>
      </c>
      <c r="K66" s="689">
        <v>5.1886792452830193</v>
      </c>
      <c r="L66" s="689">
        <v>19.676549865229109</v>
      </c>
      <c r="M66" s="689">
        <v>57.21024258760108</v>
      </c>
      <c r="N66" s="689">
        <v>17.520215633423181</v>
      </c>
      <c r="O66" s="689">
        <v>0.40431266846361186</v>
      </c>
    </row>
    <row r="67" spans="3:15">
      <c r="C67" s="694" t="s">
        <v>786</v>
      </c>
      <c r="D67" s="689">
        <v>6.5909090909090899</v>
      </c>
      <c r="E67" s="689">
        <v>29.772727272727273</v>
      </c>
      <c r="F67" s="689">
        <v>58.409090909090914</v>
      </c>
      <c r="G67" s="689">
        <v>5.2272727272727266</v>
      </c>
      <c r="H67" s="689">
        <v>0</v>
      </c>
      <c r="I67" s="90"/>
      <c r="J67" s="694" t="s">
        <v>786</v>
      </c>
      <c r="K67" s="689">
        <v>2.5114155251141552</v>
      </c>
      <c r="L67" s="689">
        <v>14.15525114155251</v>
      </c>
      <c r="M67" s="689">
        <v>61.187214611872143</v>
      </c>
      <c r="N67" s="689">
        <v>21.689497716894977</v>
      </c>
      <c r="O67" s="689">
        <v>0.45662100456621002</v>
      </c>
    </row>
    <row r="68" spans="3:15">
      <c r="C68" s="694" t="s">
        <v>787</v>
      </c>
      <c r="D68" s="689">
        <v>8.6717892425905596</v>
      </c>
      <c r="E68" s="689">
        <v>26.783754116355652</v>
      </c>
      <c r="F68" s="689">
        <v>55.982436882546651</v>
      </c>
      <c r="G68" s="689">
        <v>8.3424807903402858</v>
      </c>
      <c r="H68" s="689">
        <v>0.21953896816684962</v>
      </c>
      <c r="I68" s="90"/>
      <c r="J68" s="694" t="s">
        <v>787</v>
      </c>
      <c r="K68" s="689">
        <v>4.9234135667396064</v>
      </c>
      <c r="L68" s="689">
        <v>18.052516411378555</v>
      </c>
      <c r="M68" s="689">
        <v>52.735229759299784</v>
      </c>
      <c r="N68" s="689">
        <v>23.085339168490155</v>
      </c>
      <c r="O68" s="689">
        <v>1.2035010940919038</v>
      </c>
    </row>
    <row r="69" spans="3:15">
      <c r="C69" s="694" t="s">
        <v>788</v>
      </c>
      <c r="D69" s="689">
        <v>9.7477845944103603</v>
      </c>
      <c r="E69" s="689">
        <v>35.378323108384457</v>
      </c>
      <c r="F69" s="689">
        <v>49.420586230402179</v>
      </c>
      <c r="G69" s="689">
        <v>5.3851397409679622</v>
      </c>
      <c r="H69" s="689">
        <v>6.8166325835037497E-2</v>
      </c>
      <c r="I69" s="90"/>
      <c r="J69" s="694" t="s">
        <v>788</v>
      </c>
      <c r="K69" s="689">
        <v>4.7912388774811774</v>
      </c>
      <c r="L69" s="689">
        <v>18.548939082819988</v>
      </c>
      <c r="M69" s="689">
        <v>55.236139630390149</v>
      </c>
      <c r="N69" s="689">
        <v>20.465434633812457</v>
      </c>
      <c r="O69" s="689">
        <v>0.95824777549623541</v>
      </c>
    </row>
    <row r="70" spans="3:15">
      <c r="C70" s="694" t="s">
        <v>789</v>
      </c>
      <c r="D70" s="689">
        <v>8.3333333333333321</v>
      </c>
      <c r="E70" s="689">
        <v>30.411255411255411</v>
      </c>
      <c r="F70" s="689">
        <v>55.086580086580085</v>
      </c>
      <c r="G70" s="689">
        <v>6.1688311688311686</v>
      </c>
      <c r="H70" s="689">
        <v>0</v>
      </c>
      <c r="I70" s="90"/>
      <c r="J70" s="694" t="s">
        <v>789</v>
      </c>
      <c r="K70" s="689">
        <v>6.5005417118093174</v>
      </c>
      <c r="L70" s="689">
        <v>21.235102925243769</v>
      </c>
      <c r="M70" s="689">
        <v>53.412784398699884</v>
      </c>
      <c r="N70" s="689">
        <v>17.768147345612135</v>
      </c>
      <c r="O70" s="689">
        <v>1.0834236186348862</v>
      </c>
    </row>
    <row r="71" spans="3:15">
      <c r="C71" s="694" t="s">
        <v>685</v>
      </c>
      <c r="D71" s="689">
        <v>7.032136105860114</v>
      </c>
      <c r="E71" s="689">
        <v>31.531190926275993</v>
      </c>
      <c r="F71" s="689">
        <v>52.854442344045374</v>
      </c>
      <c r="G71" s="689">
        <v>8.0907372400756135</v>
      </c>
      <c r="H71" s="689">
        <v>0.49149338374291113</v>
      </c>
      <c r="I71" s="90"/>
      <c r="J71" s="694" t="s">
        <v>685</v>
      </c>
      <c r="K71" s="689">
        <v>4.71841704718417</v>
      </c>
      <c r="L71" s="689">
        <v>17.199391171993909</v>
      </c>
      <c r="M71" s="689">
        <v>56.925418569254184</v>
      </c>
      <c r="N71" s="689">
        <v>19.634703196347029</v>
      </c>
      <c r="O71" s="689">
        <v>1.5220700152207001</v>
      </c>
    </row>
    <row r="72" spans="3:15">
      <c r="C72" s="694" t="s">
        <v>819</v>
      </c>
      <c r="D72" s="689">
        <v>7.6923076923076925</v>
      </c>
      <c r="E72" s="689">
        <v>30.884904569115097</v>
      </c>
      <c r="F72" s="689">
        <v>53.67264314632736</v>
      </c>
      <c r="G72" s="689">
        <v>7.6344707923655291</v>
      </c>
      <c r="H72" s="689">
        <v>0.11567379988432619</v>
      </c>
      <c r="I72" s="90"/>
      <c r="J72" s="694" t="s">
        <v>819</v>
      </c>
      <c r="K72" s="689">
        <v>4.8032407407407405</v>
      </c>
      <c r="L72" s="689">
        <v>17.939814814814813</v>
      </c>
      <c r="M72" s="689">
        <v>54.629629629629626</v>
      </c>
      <c r="N72" s="689">
        <v>21.354166666666664</v>
      </c>
      <c r="O72" s="689">
        <v>1.2731481481481481</v>
      </c>
    </row>
    <row r="73" spans="3:15">
      <c r="C73" s="662" t="s">
        <v>469</v>
      </c>
      <c r="D73" s="663">
        <v>11.679532339054186</v>
      </c>
      <c r="E73" s="663">
        <v>34.914187214269653</v>
      </c>
      <c r="F73" s="663">
        <v>47.241250093682083</v>
      </c>
      <c r="G73" s="663">
        <v>5.908716180768943</v>
      </c>
      <c r="H73" s="664">
        <v>0.25631417222513675</v>
      </c>
      <c r="I73" s="90"/>
      <c r="J73" s="662" t="s">
        <v>469</v>
      </c>
      <c r="K73" s="663">
        <v>8.3412194132756525</v>
      </c>
      <c r="L73" s="663">
        <v>22.63380048968801</v>
      </c>
      <c r="M73" s="663">
        <v>51.351148363450648</v>
      </c>
      <c r="N73" s="663">
        <v>16.676430384690491</v>
      </c>
      <c r="O73" s="664">
        <v>0.99740134889519783</v>
      </c>
    </row>
    <row r="76" spans="3:15">
      <c r="C76" s="2" t="s">
        <v>820</v>
      </c>
    </row>
    <row r="77" spans="3:15">
      <c r="C77" s="453"/>
    </row>
    <row r="78" spans="3:15">
      <c r="C78" s="2" t="s">
        <v>821</v>
      </c>
    </row>
  </sheetData>
  <mergeCells count="13">
    <mergeCell ref="C1:AM1"/>
    <mergeCell ref="C6:H6"/>
    <mergeCell ref="J6:O6"/>
    <mergeCell ref="C7:C8"/>
    <mergeCell ref="D7:H7"/>
    <mergeCell ref="J7:J8"/>
    <mergeCell ref="K7:O7"/>
    <mergeCell ref="C41:H41"/>
    <mergeCell ref="J41:O41"/>
    <mergeCell ref="C42:C43"/>
    <mergeCell ref="D42:H42"/>
    <mergeCell ref="J42:J43"/>
    <mergeCell ref="K42:O4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1:AM30"/>
  <sheetViews>
    <sheetView workbookViewId="0"/>
  </sheetViews>
  <sheetFormatPr defaultRowHeight="15"/>
  <cols>
    <col min="1" max="1" width="2.28515625" customWidth="1"/>
    <col min="2" max="2" width="5.7109375" customWidth="1"/>
    <col min="3" max="3" width="11.5703125" customWidth="1"/>
    <col min="4" max="7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100</v>
      </c>
    </row>
    <row r="5" spans="2:39">
      <c r="C5" s="453"/>
      <c r="D5" s="453"/>
      <c r="E5" s="453"/>
      <c r="F5" s="453"/>
      <c r="G5" s="475" t="s">
        <v>332</v>
      </c>
    </row>
    <row r="6" spans="2:39" ht="21.75" customHeight="1">
      <c r="C6" s="1213" t="s">
        <v>443</v>
      </c>
      <c r="D6" s="1151"/>
      <c r="E6" s="635">
        <v>2008</v>
      </c>
      <c r="F6" s="635">
        <v>2009</v>
      </c>
      <c r="G6" s="636">
        <v>2010</v>
      </c>
    </row>
    <row r="7" spans="2:39" ht="5.25" customHeight="1">
      <c r="C7" s="488"/>
      <c r="D7" s="488"/>
      <c r="E7" s="488"/>
      <c r="F7" s="488"/>
      <c r="G7" s="488"/>
    </row>
    <row r="8" spans="2:39">
      <c r="C8" s="1268" t="s">
        <v>822</v>
      </c>
      <c r="D8" s="698" t="s">
        <v>806</v>
      </c>
      <c r="E8" s="699">
        <f>5.6+33.3</f>
        <v>38.9</v>
      </c>
      <c r="F8" s="700">
        <f>7.5+36.7</f>
        <v>44.2</v>
      </c>
      <c r="G8" s="700">
        <f>11.3+32.8</f>
        <v>44.099999999999994</v>
      </c>
    </row>
    <row r="9" spans="2:39">
      <c r="C9" s="1269"/>
      <c r="D9" s="701" t="s">
        <v>807</v>
      </c>
      <c r="E9" s="702">
        <v>50.6</v>
      </c>
      <c r="F9" s="703">
        <v>47.3</v>
      </c>
      <c r="G9" s="703">
        <v>47.5</v>
      </c>
    </row>
    <row r="10" spans="2:39">
      <c r="C10" s="1269"/>
      <c r="D10" s="704" t="s">
        <v>808</v>
      </c>
      <c r="E10" s="705">
        <f>9.8+0.8</f>
        <v>10.600000000000001</v>
      </c>
      <c r="F10" s="706">
        <f>8.1+0.4</f>
        <v>8.5</v>
      </c>
      <c r="G10" s="706">
        <f>8+0.4</f>
        <v>8.4</v>
      </c>
    </row>
    <row r="11" spans="2:39" ht="5.25" customHeight="1">
      <c r="C11" s="2"/>
      <c r="D11" s="2"/>
      <c r="E11" s="425"/>
      <c r="F11" s="425"/>
      <c r="G11" s="425"/>
    </row>
    <row r="12" spans="2:39">
      <c r="C12" s="1270" t="s">
        <v>823</v>
      </c>
      <c r="D12" s="701" t="s">
        <v>806</v>
      </c>
      <c r="E12" s="699">
        <f>15.4+34.5</f>
        <v>49.9</v>
      </c>
      <c r="F12" s="700">
        <f>16.9+30.8</f>
        <v>47.7</v>
      </c>
      <c r="G12" s="700">
        <f>18+29.5</f>
        <v>47.5</v>
      </c>
    </row>
    <row r="13" spans="2:39">
      <c r="C13" s="1269"/>
      <c r="D13" s="701" t="s">
        <v>807</v>
      </c>
      <c r="E13" s="702">
        <v>40.9</v>
      </c>
      <c r="F13" s="703">
        <v>41.5</v>
      </c>
      <c r="G13" s="703">
        <v>41.4</v>
      </c>
    </row>
    <row r="14" spans="2:39">
      <c r="C14" s="1269"/>
      <c r="D14" s="704" t="s">
        <v>808</v>
      </c>
      <c r="E14" s="705">
        <f>8.4+0.8</f>
        <v>9.2000000000000011</v>
      </c>
      <c r="F14" s="706">
        <f>9.9+0.8</f>
        <v>10.700000000000001</v>
      </c>
      <c r="G14" s="706">
        <f>10.6+0.5</f>
        <v>11.1</v>
      </c>
    </row>
    <row r="28" spans="3:3">
      <c r="C28" s="2" t="s">
        <v>820</v>
      </c>
    </row>
    <row r="29" spans="3:3">
      <c r="C29" s="453"/>
    </row>
    <row r="30" spans="3:3">
      <c r="C30" s="2" t="s">
        <v>824</v>
      </c>
    </row>
  </sheetData>
  <mergeCells count="4">
    <mergeCell ref="C6:D6"/>
    <mergeCell ref="C8:C10"/>
    <mergeCell ref="C12:C14"/>
    <mergeCell ref="C1:AM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B1:AM31"/>
  <sheetViews>
    <sheetView workbookViewId="0"/>
  </sheetViews>
  <sheetFormatPr defaultRowHeight="15"/>
  <cols>
    <col min="1" max="1" width="2.28515625" customWidth="1"/>
    <col min="2" max="2" width="5.7109375" customWidth="1"/>
    <col min="3" max="3" width="11.140625" customWidth="1"/>
    <col min="4" max="7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102</v>
      </c>
    </row>
    <row r="5" spans="2:39">
      <c r="C5" s="453"/>
      <c r="D5" s="453"/>
      <c r="E5" s="453"/>
      <c r="F5" s="453"/>
      <c r="G5" s="475" t="s">
        <v>332</v>
      </c>
    </row>
    <row r="6" spans="2:39" ht="21.75" customHeight="1">
      <c r="C6" s="1140" t="s">
        <v>444</v>
      </c>
      <c r="D6" s="1271"/>
      <c r="E6" s="420">
        <v>2008</v>
      </c>
      <c r="F6" s="420">
        <v>2009</v>
      </c>
      <c r="G6" s="111">
        <v>2010</v>
      </c>
    </row>
    <row r="7" spans="2:39" ht="5.25" customHeight="1">
      <c r="C7" s="2"/>
      <c r="D7" s="2"/>
      <c r="E7" s="708"/>
      <c r="F7" s="708"/>
      <c r="G7" s="708"/>
    </row>
    <row r="8" spans="2:39">
      <c r="C8" s="1272" t="s">
        <v>822</v>
      </c>
      <c r="D8" s="709" t="s">
        <v>806</v>
      </c>
      <c r="E8" s="710">
        <f>4.6+34.2</f>
        <v>38.800000000000004</v>
      </c>
      <c r="F8" s="711">
        <f>8.8+30</f>
        <v>38.799999999999997</v>
      </c>
      <c r="G8" s="711">
        <f>4+26.2</f>
        <v>30.2</v>
      </c>
    </row>
    <row r="9" spans="2:39">
      <c r="C9" s="1272"/>
      <c r="D9" s="701" t="s">
        <v>807</v>
      </c>
      <c r="E9" s="712">
        <v>54.6</v>
      </c>
      <c r="F9" s="713">
        <v>51.3</v>
      </c>
      <c r="G9" s="713">
        <v>58.2</v>
      </c>
    </row>
    <row r="10" spans="2:39">
      <c r="C10" s="1272"/>
      <c r="D10" s="704" t="s">
        <v>808</v>
      </c>
      <c r="E10" s="714">
        <f>6.1+0.4</f>
        <v>6.5</v>
      </c>
      <c r="F10" s="715">
        <f>9.3+0.6</f>
        <v>9.9</v>
      </c>
      <c r="G10" s="715">
        <f>10.9+0.7</f>
        <v>11.6</v>
      </c>
    </row>
    <row r="11" spans="2:39" ht="5.25" customHeight="1">
      <c r="C11" s="2"/>
      <c r="D11" s="2"/>
      <c r="E11" s="425"/>
      <c r="F11" s="425"/>
      <c r="G11" s="425"/>
    </row>
    <row r="12" spans="2:39">
      <c r="C12" s="1272" t="s">
        <v>823</v>
      </c>
      <c r="D12" s="709" t="s">
        <v>806</v>
      </c>
      <c r="E12" s="710">
        <f>8.9+24</f>
        <v>32.9</v>
      </c>
      <c r="F12" s="711">
        <f>8.1+21.6</f>
        <v>29.700000000000003</v>
      </c>
      <c r="G12" s="711">
        <f>8.5+20.8</f>
        <v>29.3</v>
      </c>
    </row>
    <row r="13" spans="2:39">
      <c r="C13" s="1272"/>
      <c r="D13" s="701" t="s">
        <v>807</v>
      </c>
      <c r="E13" s="712">
        <v>48.9</v>
      </c>
      <c r="F13" s="713">
        <v>50.9</v>
      </c>
      <c r="G13" s="713">
        <v>47.7</v>
      </c>
    </row>
    <row r="14" spans="2:39">
      <c r="C14" s="1272"/>
      <c r="D14" s="704" t="s">
        <v>808</v>
      </c>
      <c r="E14" s="714">
        <f>16.5+1.8</f>
        <v>18.3</v>
      </c>
      <c r="F14" s="715">
        <f>18+1.3</f>
        <v>19.3</v>
      </c>
      <c r="G14" s="715">
        <f>21.7+1.3</f>
        <v>23</v>
      </c>
    </row>
    <row r="29" spans="3:3">
      <c r="C29" s="2" t="s">
        <v>820</v>
      </c>
    </row>
    <row r="30" spans="3:3">
      <c r="C30" s="453"/>
    </row>
    <row r="31" spans="3:3">
      <c r="C31" s="2" t="s">
        <v>824</v>
      </c>
    </row>
  </sheetData>
  <mergeCells count="4">
    <mergeCell ref="C6:D6"/>
    <mergeCell ref="C8:C10"/>
    <mergeCell ref="C12:C14"/>
    <mergeCell ref="C1:AM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7.425781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104</v>
      </c>
    </row>
    <row r="6" spans="2:39" ht="45" customHeight="1">
      <c r="C6" s="634" t="s">
        <v>825</v>
      </c>
      <c r="D6" s="716">
        <v>2005</v>
      </c>
      <c r="E6" s="716">
        <v>2006</v>
      </c>
      <c r="F6" s="716">
        <v>2007</v>
      </c>
      <c r="G6" s="716">
        <v>2008</v>
      </c>
      <c r="H6" s="717">
        <v>2009</v>
      </c>
    </row>
    <row r="7" spans="2:39" ht="18" customHeight="1">
      <c r="C7" s="718" t="s">
        <v>822</v>
      </c>
      <c r="D7" s="719">
        <v>3</v>
      </c>
      <c r="E7" s="720">
        <v>2.6</v>
      </c>
      <c r="F7" s="720">
        <v>3.2</v>
      </c>
      <c r="G7" s="720">
        <v>3.2</v>
      </c>
      <c r="H7" s="720">
        <v>2.9</v>
      </c>
    </row>
    <row r="8" spans="2:39" ht="18" customHeight="1">
      <c r="C8" s="721" t="s">
        <v>823</v>
      </c>
      <c r="D8" s="722">
        <v>2.2000000000000002</v>
      </c>
      <c r="E8" s="723">
        <v>2.4</v>
      </c>
      <c r="F8" s="723">
        <v>2.1</v>
      </c>
      <c r="G8" s="723">
        <v>2.9</v>
      </c>
      <c r="H8" s="723">
        <v>3</v>
      </c>
    </row>
    <row r="24" spans="3:3">
      <c r="C24" s="2" t="s">
        <v>830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7.4257812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106</v>
      </c>
    </row>
    <row r="6" spans="2:39" ht="45" customHeight="1">
      <c r="C6" s="634" t="s">
        <v>826</v>
      </c>
      <c r="D6" s="716">
        <v>2005</v>
      </c>
      <c r="E6" s="716">
        <v>2006</v>
      </c>
      <c r="F6" s="716">
        <v>2007</v>
      </c>
      <c r="G6" s="716">
        <v>2008</v>
      </c>
      <c r="H6" s="717">
        <v>2009</v>
      </c>
    </row>
    <row r="7" spans="2:39" ht="18" customHeight="1">
      <c r="C7" s="718" t="s">
        <v>827</v>
      </c>
      <c r="D7" s="719">
        <v>98</v>
      </c>
      <c r="E7" s="720">
        <v>103</v>
      </c>
      <c r="F7" s="720">
        <v>106.8</v>
      </c>
      <c r="G7" s="720">
        <v>125.3</v>
      </c>
      <c r="H7" s="720">
        <v>95.9</v>
      </c>
    </row>
    <row r="8" spans="2:39" ht="18" customHeight="1">
      <c r="C8" s="718" t="s">
        <v>828</v>
      </c>
      <c r="D8" s="719">
        <v>66</v>
      </c>
      <c r="E8" s="720">
        <v>64</v>
      </c>
      <c r="F8" s="720">
        <v>93.7</v>
      </c>
      <c r="G8" s="720">
        <v>114.1</v>
      </c>
      <c r="H8" s="720">
        <v>92.4</v>
      </c>
    </row>
    <row r="9" spans="2:39" ht="18" customHeight="1">
      <c r="C9" s="721" t="s">
        <v>829</v>
      </c>
      <c r="D9" s="722">
        <v>84.3</v>
      </c>
      <c r="E9" s="723">
        <v>93.5</v>
      </c>
      <c r="F9" s="723">
        <v>90.4</v>
      </c>
      <c r="G9" s="723">
        <v>108.5</v>
      </c>
      <c r="H9" s="723">
        <v>95.8</v>
      </c>
    </row>
    <row r="24" spans="3:3">
      <c r="C24" s="2" t="s">
        <v>830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  <col min="3" max="3" width="13.7109375" customWidth="1"/>
    <col min="4" max="4" width="0.85546875" style="453" customWidth="1"/>
    <col min="8" max="8" width="0.85546875" customWidth="1"/>
    <col min="12" max="12" width="0.85546875" customWidth="1"/>
  </cols>
  <sheetData>
    <row r="1" spans="2:39">
      <c r="B1" s="40"/>
      <c r="C1" s="1203" t="s">
        <v>44</v>
      </c>
      <c r="D1" s="1203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108</v>
      </c>
      <c r="D2" s="1"/>
    </row>
    <row r="6" spans="2:39" ht="20.25" customHeight="1">
      <c r="C6" s="265"/>
      <c r="D6" s="265"/>
      <c r="E6" s="1230" t="s">
        <v>831</v>
      </c>
      <c r="F6" s="1273"/>
      <c r="G6" s="1274"/>
      <c r="H6" s="265"/>
      <c r="I6" s="1230" t="s">
        <v>823</v>
      </c>
      <c r="J6" s="1273"/>
      <c r="K6" s="1274"/>
      <c r="L6" s="265"/>
      <c r="M6" s="1230" t="s">
        <v>832</v>
      </c>
      <c r="N6" s="1273"/>
      <c r="O6" s="1274"/>
    </row>
    <row r="7" spans="2:39" ht="18" customHeight="1">
      <c r="C7" s="265"/>
      <c r="D7" s="265"/>
      <c r="E7" s="724">
        <v>2000</v>
      </c>
      <c r="F7" s="725">
        <v>2003</v>
      </c>
      <c r="G7" s="726">
        <v>2006</v>
      </c>
      <c r="H7" s="265"/>
      <c r="I7" s="724">
        <v>2000</v>
      </c>
      <c r="J7" s="725">
        <v>2003</v>
      </c>
      <c r="K7" s="726">
        <v>2006</v>
      </c>
      <c r="L7" s="265"/>
      <c r="M7" s="724">
        <v>2000</v>
      </c>
      <c r="N7" s="725">
        <v>2003</v>
      </c>
      <c r="O7" s="726">
        <v>2006</v>
      </c>
    </row>
    <row r="8" spans="2:39" ht="17.25" customHeight="1">
      <c r="C8" s="739" t="s">
        <v>431</v>
      </c>
      <c r="D8" s="736"/>
      <c r="E8" s="727">
        <v>500</v>
      </c>
      <c r="F8" s="728">
        <v>500</v>
      </c>
      <c r="G8" s="729">
        <v>500</v>
      </c>
      <c r="H8" s="728"/>
      <c r="I8" s="727">
        <v>500</v>
      </c>
      <c r="J8" s="728">
        <v>500</v>
      </c>
      <c r="K8" s="729">
        <v>500</v>
      </c>
      <c r="L8" s="728"/>
      <c r="M8" s="727">
        <v>500</v>
      </c>
      <c r="N8" s="728">
        <v>500</v>
      </c>
      <c r="O8" s="729">
        <v>500</v>
      </c>
    </row>
    <row r="9" spans="2:39" ht="17.25" customHeight="1">
      <c r="C9" s="740" t="s">
        <v>432</v>
      </c>
      <c r="D9" s="736"/>
      <c r="E9" s="730">
        <v>470</v>
      </c>
      <c r="F9" s="668">
        <v>478</v>
      </c>
      <c r="G9" s="731">
        <v>472</v>
      </c>
      <c r="H9" s="728"/>
      <c r="I9" s="730">
        <v>454</v>
      </c>
      <c r="J9" s="668">
        <v>466</v>
      </c>
      <c r="K9" s="731">
        <v>466</v>
      </c>
      <c r="L9" s="728"/>
      <c r="M9" s="730">
        <v>459</v>
      </c>
      <c r="N9" s="668">
        <v>468</v>
      </c>
      <c r="O9" s="731">
        <v>474</v>
      </c>
    </row>
    <row r="10" spans="2:39" ht="17.25" customHeight="1">
      <c r="C10" s="375" t="s">
        <v>833</v>
      </c>
      <c r="D10" s="736"/>
      <c r="E10" s="733"/>
      <c r="F10" s="734"/>
      <c r="G10" s="735">
        <v>487</v>
      </c>
      <c r="H10" s="728"/>
      <c r="I10" s="733"/>
      <c r="J10" s="734"/>
      <c r="K10" s="735">
        <v>492</v>
      </c>
      <c r="L10" s="728"/>
      <c r="M10" s="733"/>
      <c r="N10" s="734"/>
      <c r="O10" s="735">
        <v>496</v>
      </c>
    </row>
    <row r="27" spans="3:3">
      <c r="C27" s="2" t="s">
        <v>834</v>
      </c>
    </row>
  </sheetData>
  <mergeCells count="4">
    <mergeCell ref="E6:G6"/>
    <mergeCell ref="I6:K6"/>
    <mergeCell ref="M6:O6"/>
    <mergeCell ref="C1:AM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  <col min="3" max="3" width="13.7109375" customWidth="1"/>
    <col min="4" max="4" width="0.85546875" style="453" customWidth="1"/>
    <col min="8" max="8" width="0.85546875" style="453" customWidth="1"/>
    <col min="12" max="12" width="0.85546875" style="453" customWidth="1"/>
  </cols>
  <sheetData>
    <row r="1" spans="2:39">
      <c r="B1" s="40"/>
      <c r="C1" s="1203" t="s">
        <v>44</v>
      </c>
      <c r="D1" s="1203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110</v>
      </c>
      <c r="D2" s="1"/>
    </row>
    <row r="6" spans="2:39" ht="20.25" customHeight="1">
      <c r="C6" s="90"/>
      <c r="D6" s="741"/>
      <c r="E6" s="1230" t="s">
        <v>831</v>
      </c>
      <c r="F6" s="1275"/>
      <c r="G6" s="1276"/>
      <c r="H6" s="746"/>
      <c r="I6" s="1230" t="s">
        <v>823</v>
      </c>
      <c r="J6" s="1275"/>
      <c r="K6" s="1276"/>
      <c r="L6" s="746"/>
      <c r="M6" s="1230" t="s">
        <v>832</v>
      </c>
      <c r="N6" s="1275"/>
      <c r="O6" s="1276"/>
    </row>
    <row r="7" spans="2:39" ht="18" customHeight="1">
      <c r="C7" s="90"/>
      <c r="D7" s="741"/>
      <c r="E7" s="724">
        <v>2000</v>
      </c>
      <c r="F7" s="725">
        <v>2003</v>
      </c>
      <c r="G7" s="745">
        <v>2006</v>
      </c>
      <c r="H7" s="747"/>
      <c r="I7" s="724">
        <v>2000</v>
      </c>
      <c r="J7" s="725">
        <v>2003</v>
      </c>
      <c r="K7" s="745">
        <v>2006</v>
      </c>
      <c r="L7" s="747"/>
      <c r="M7" s="724">
        <v>2000</v>
      </c>
      <c r="N7" s="725">
        <v>2003</v>
      </c>
      <c r="O7" s="745">
        <v>2006</v>
      </c>
    </row>
    <row r="8" spans="2:39" ht="17.25" customHeight="1">
      <c r="C8" s="752" t="s">
        <v>432</v>
      </c>
      <c r="D8" s="736"/>
      <c r="E8" s="749">
        <v>470</v>
      </c>
      <c r="F8" s="750">
        <v>478</v>
      </c>
      <c r="G8" s="751">
        <v>472</v>
      </c>
      <c r="H8" s="748"/>
      <c r="I8" s="749">
        <v>454</v>
      </c>
      <c r="J8" s="750">
        <v>466</v>
      </c>
      <c r="K8" s="751">
        <v>466</v>
      </c>
      <c r="L8" s="748"/>
      <c r="M8" s="749">
        <v>459</v>
      </c>
      <c r="N8" s="750">
        <v>468</v>
      </c>
      <c r="O8" s="751">
        <v>474</v>
      </c>
    </row>
    <row r="9" spans="2:39" ht="17.25" customHeight="1">
      <c r="C9" s="753" t="s">
        <v>308</v>
      </c>
      <c r="D9" s="742"/>
      <c r="E9" s="737">
        <v>482</v>
      </c>
      <c r="F9" s="737">
        <v>495</v>
      </c>
      <c r="G9" s="737">
        <v>488</v>
      </c>
      <c r="H9" s="743"/>
      <c r="I9" s="737">
        <v>446</v>
      </c>
      <c r="J9" s="737">
        <v>460</v>
      </c>
      <c r="K9" s="737">
        <v>458</v>
      </c>
      <c r="L9" s="743"/>
      <c r="M9" s="737">
        <v>462</v>
      </c>
      <c r="N9" s="737">
        <v>465</v>
      </c>
      <c r="O9" s="737">
        <v>472</v>
      </c>
    </row>
    <row r="10" spans="2:39" ht="17.25" customHeight="1">
      <c r="C10" s="754" t="s">
        <v>307</v>
      </c>
      <c r="D10" s="742"/>
      <c r="E10" s="738">
        <v>458</v>
      </c>
      <c r="F10" s="738">
        <v>459</v>
      </c>
      <c r="G10" s="738">
        <v>456</v>
      </c>
      <c r="H10" s="744"/>
      <c r="I10" s="738">
        <v>464</v>
      </c>
      <c r="J10" s="738">
        <v>472</v>
      </c>
      <c r="K10" s="738">
        <v>473</v>
      </c>
      <c r="L10" s="744"/>
      <c r="M10" s="738">
        <v>456</v>
      </c>
      <c r="N10" s="738">
        <v>471</v>
      </c>
      <c r="O10" s="738">
        <v>477</v>
      </c>
    </row>
    <row r="27" spans="3:3">
      <c r="C27" s="2" t="s">
        <v>834</v>
      </c>
    </row>
  </sheetData>
  <mergeCells count="4">
    <mergeCell ref="E6:G6"/>
    <mergeCell ref="I6:K6"/>
    <mergeCell ref="M6:O6"/>
    <mergeCell ref="C1:AM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B1:AM26"/>
  <sheetViews>
    <sheetView workbookViewId="0"/>
  </sheetViews>
  <sheetFormatPr defaultRowHeight="15"/>
  <cols>
    <col min="1" max="1" width="2.28515625" customWidth="1"/>
    <col min="2" max="2" width="5.7109375" customWidth="1"/>
    <col min="3" max="3" width="14.7109375" customWidth="1"/>
    <col min="4" max="6" width="11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112</v>
      </c>
    </row>
    <row r="6" spans="2:39" ht="18" customHeight="1">
      <c r="C6" s="265"/>
      <c r="D6" s="1230">
        <v>2000</v>
      </c>
      <c r="E6" s="1275"/>
      <c r="F6" s="1277"/>
    </row>
    <row r="7" spans="2:39" ht="20.25" customHeight="1">
      <c r="C7" s="265"/>
      <c r="D7" s="724" t="s">
        <v>831</v>
      </c>
      <c r="E7" s="725" t="s">
        <v>823</v>
      </c>
      <c r="F7" s="726" t="s">
        <v>832</v>
      </c>
    </row>
    <row r="8" spans="2:39">
      <c r="C8" s="755" t="s">
        <v>431</v>
      </c>
      <c r="D8" s="756">
        <v>500</v>
      </c>
      <c r="E8" s="756">
        <v>500</v>
      </c>
      <c r="F8" s="756">
        <v>500</v>
      </c>
    </row>
    <row r="9" spans="2:39">
      <c r="C9" s="757" t="s">
        <v>432</v>
      </c>
      <c r="D9" s="668">
        <v>470</v>
      </c>
      <c r="E9" s="668">
        <v>454</v>
      </c>
      <c r="F9" s="732">
        <v>459</v>
      </c>
    </row>
    <row r="10" spans="2:39">
      <c r="C10" s="758" t="s">
        <v>681</v>
      </c>
      <c r="D10" s="737">
        <v>461</v>
      </c>
      <c r="E10" s="737">
        <v>445</v>
      </c>
      <c r="F10" s="737">
        <v>452</v>
      </c>
    </row>
    <row r="11" spans="2:39">
      <c r="C11" s="758" t="s">
        <v>682</v>
      </c>
      <c r="D11" s="737">
        <v>455</v>
      </c>
      <c r="E11" s="737">
        <v>447</v>
      </c>
      <c r="F11" s="737">
        <v>450</v>
      </c>
    </row>
    <row r="12" spans="2:39">
      <c r="C12" s="758" t="s">
        <v>659</v>
      </c>
      <c r="D12" s="737">
        <v>501</v>
      </c>
      <c r="E12" s="737">
        <v>481</v>
      </c>
      <c r="F12" s="737">
        <v>483</v>
      </c>
    </row>
    <row r="13" spans="2:39">
      <c r="C13" s="758" t="s">
        <v>684</v>
      </c>
      <c r="D13" s="737">
        <v>448</v>
      </c>
      <c r="E13" s="737">
        <v>427</v>
      </c>
      <c r="F13" s="737">
        <v>441</v>
      </c>
    </row>
    <row r="14" spans="2:39">
      <c r="C14" s="758" t="s">
        <v>685</v>
      </c>
      <c r="D14" s="737">
        <v>441</v>
      </c>
      <c r="E14" s="737">
        <v>428</v>
      </c>
      <c r="F14" s="737">
        <v>435</v>
      </c>
    </row>
    <row r="15" spans="2:39">
      <c r="C15" s="758" t="s">
        <v>835</v>
      </c>
      <c r="D15" s="737">
        <v>448</v>
      </c>
      <c r="E15" s="737">
        <v>437</v>
      </c>
      <c r="F15" s="737">
        <v>444</v>
      </c>
    </row>
    <row r="16" spans="2:39">
      <c r="C16" s="759" t="s">
        <v>812</v>
      </c>
      <c r="D16" s="738">
        <v>425</v>
      </c>
      <c r="E16" s="738">
        <v>405</v>
      </c>
      <c r="F16" s="738">
        <v>418</v>
      </c>
    </row>
    <row r="26" spans="3:3">
      <c r="C26" s="2" t="s">
        <v>834</v>
      </c>
    </row>
  </sheetData>
  <mergeCells count="2">
    <mergeCell ref="D6:F6"/>
    <mergeCell ref="C1:AM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  <col min="3" max="3" width="14.7109375" customWidth="1"/>
    <col min="4" max="5" width="11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114</v>
      </c>
    </row>
    <row r="6" spans="2:39" ht="20.25" customHeight="1">
      <c r="C6" s="265"/>
      <c r="D6" s="1230" t="s">
        <v>832</v>
      </c>
      <c r="E6" s="1274"/>
    </row>
    <row r="7" spans="2:39" ht="18" customHeight="1">
      <c r="C7" s="265"/>
      <c r="D7" s="724">
        <v>2000</v>
      </c>
      <c r="E7" s="726">
        <v>2006</v>
      </c>
    </row>
    <row r="8" spans="2:39" ht="17.25" customHeight="1">
      <c r="C8" s="755" t="s">
        <v>431</v>
      </c>
      <c r="D8" s="756">
        <v>500</v>
      </c>
      <c r="E8" s="756">
        <v>500</v>
      </c>
    </row>
    <row r="9" spans="2:39" ht="17.25" customHeight="1">
      <c r="C9" s="757" t="s">
        <v>432</v>
      </c>
      <c r="D9" s="668">
        <v>459</v>
      </c>
      <c r="E9" s="732">
        <v>474</v>
      </c>
    </row>
    <row r="10" spans="2:39" ht="17.25" customHeight="1">
      <c r="C10" s="758" t="s">
        <v>681</v>
      </c>
      <c r="D10" s="737">
        <v>452</v>
      </c>
      <c r="E10" s="737">
        <v>470</v>
      </c>
    </row>
    <row r="11" spans="2:39" ht="17.25" customHeight="1">
      <c r="C11" s="758" t="s">
        <v>682</v>
      </c>
      <c r="D11" s="737">
        <v>450</v>
      </c>
      <c r="E11" s="737">
        <v>481</v>
      </c>
    </row>
    <row r="12" spans="2:39" ht="17.25" customHeight="1">
      <c r="C12" s="758" t="s">
        <v>659</v>
      </c>
      <c r="D12" s="737">
        <v>483</v>
      </c>
      <c r="E12" s="737">
        <v>477</v>
      </c>
    </row>
    <row r="13" spans="2:39" ht="17.25" customHeight="1">
      <c r="C13" s="758" t="s">
        <v>684</v>
      </c>
      <c r="D13" s="737">
        <v>441</v>
      </c>
      <c r="E13" s="737">
        <v>472</v>
      </c>
    </row>
    <row r="14" spans="2:39" ht="17.25" customHeight="1">
      <c r="C14" s="758" t="s">
        <v>685</v>
      </c>
      <c r="D14" s="737">
        <v>435</v>
      </c>
      <c r="E14" s="737">
        <v>486</v>
      </c>
    </row>
    <row r="15" spans="2:39" ht="17.25" customHeight="1">
      <c r="C15" s="758" t="s">
        <v>835</v>
      </c>
      <c r="D15" s="737">
        <v>444</v>
      </c>
      <c r="E15" s="737">
        <v>463</v>
      </c>
    </row>
    <row r="16" spans="2:39" ht="17.25" customHeight="1">
      <c r="C16" s="759" t="s">
        <v>812</v>
      </c>
      <c r="D16" s="738">
        <v>418</v>
      </c>
      <c r="E16" s="738">
        <v>466</v>
      </c>
    </row>
    <row r="27" spans="3:3">
      <c r="C27" s="2" t="s">
        <v>834</v>
      </c>
    </row>
  </sheetData>
  <mergeCells count="2">
    <mergeCell ref="D6:E6"/>
    <mergeCell ref="C1:AM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  <col min="3" max="4" width="12.28515625" customWidth="1"/>
    <col min="5" max="5" width="10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116</v>
      </c>
    </row>
    <row r="5" spans="2:39">
      <c r="C5" s="1278" t="s">
        <v>832</v>
      </c>
      <c r="D5" s="1279"/>
      <c r="E5" s="1279"/>
    </row>
    <row r="6" spans="2:39" ht="9" customHeight="1">
      <c r="D6" s="83"/>
      <c r="E6" s="83"/>
    </row>
    <row r="7" spans="2:39">
      <c r="D7" s="1280">
        <v>2006</v>
      </c>
      <c r="E7" s="1281"/>
    </row>
    <row r="8" spans="2:39" ht="17.25" customHeight="1">
      <c r="D8" s="84" t="s">
        <v>431</v>
      </c>
      <c r="E8" s="85">
        <v>500</v>
      </c>
    </row>
    <row r="9" spans="2:39" ht="17.25" customHeight="1">
      <c r="D9" s="86" t="s">
        <v>432</v>
      </c>
      <c r="E9" s="87">
        <v>474</v>
      </c>
    </row>
    <row r="10" spans="2:39" ht="2.25" customHeight="1">
      <c r="D10" s="88"/>
      <c r="E10" s="89"/>
    </row>
    <row r="11" spans="2:39" ht="17.25" customHeight="1">
      <c r="C11" s="1282" t="s">
        <v>433</v>
      </c>
      <c r="D11" s="88" t="s">
        <v>434</v>
      </c>
      <c r="E11" s="89">
        <v>352</v>
      </c>
    </row>
    <row r="12" spans="2:39" ht="17.25" customHeight="1">
      <c r="C12" s="1282"/>
      <c r="D12" s="88" t="s">
        <v>435</v>
      </c>
      <c r="E12" s="89">
        <v>399</v>
      </c>
    </row>
    <row r="13" spans="2:39" ht="17.25" customHeight="1">
      <c r="C13" s="1282"/>
      <c r="D13" s="88" t="s">
        <v>436</v>
      </c>
      <c r="E13" s="89">
        <v>451</v>
      </c>
    </row>
    <row r="14" spans="2:39" ht="17.25" customHeight="1">
      <c r="C14" s="1282"/>
      <c r="D14" s="88" t="s">
        <v>437</v>
      </c>
      <c r="E14" s="89">
        <v>528</v>
      </c>
    </row>
    <row r="15" spans="2:39" ht="17.25" customHeight="1">
      <c r="C15" s="1282"/>
      <c r="D15" s="88" t="s">
        <v>438</v>
      </c>
      <c r="E15" s="89">
        <v>548</v>
      </c>
    </row>
    <row r="27" spans="3:3">
      <c r="C27" s="90" t="s">
        <v>439</v>
      </c>
    </row>
  </sheetData>
  <mergeCells count="4">
    <mergeCell ref="C5:E5"/>
    <mergeCell ref="D7:E7"/>
    <mergeCell ref="C11:C15"/>
    <mergeCell ref="C1:A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M32"/>
  <sheetViews>
    <sheetView workbookViewId="0"/>
  </sheetViews>
  <sheetFormatPr defaultRowHeight="15"/>
  <cols>
    <col min="1" max="1" width="2.28515625" customWidth="1"/>
    <col min="2" max="2" width="5.7109375" customWidth="1"/>
    <col min="3" max="3" width="16.42578125" customWidth="1"/>
    <col min="4" max="4" width="14.7109375" customWidth="1"/>
    <col min="5" max="6" width="10.7109375" customWidth="1"/>
  </cols>
  <sheetData>
    <row r="1" spans="2:39">
      <c r="B1" s="34"/>
      <c r="C1" s="1086" t="s">
        <v>4</v>
      </c>
      <c r="D1" s="1086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10</v>
      </c>
      <c r="D2" s="1"/>
    </row>
    <row r="5" spans="2:39">
      <c r="C5" s="1104" t="s">
        <v>534</v>
      </c>
      <c r="D5" s="1104"/>
      <c r="E5" s="1104"/>
      <c r="F5" s="1104"/>
    </row>
    <row r="6" spans="2:39">
      <c r="C6" s="1098" t="s">
        <v>502</v>
      </c>
      <c r="D6" s="1109" t="s">
        <v>537</v>
      </c>
      <c r="E6" s="1105" t="s">
        <v>535</v>
      </c>
      <c r="F6" s="1107" t="s">
        <v>536</v>
      </c>
    </row>
    <row r="7" spans="2:39">
      <c r="C7" s="1099"/>
      <c r="D7" s="1110"/>
      <c r="E7" s="1106"/>
      <c r="F7" s="1108"/>
    </row>
    <row r="8" spans="2:39">
      <c r="C8" s="158" t="s">
        <v>503</v>
      </c>
      <c r="D8" s="159">
        <v>13893</v>
      </c>
      <c r="E8" s="160">
        <v>7318</v>
      </c>
      <c r="F8" s="160">
        <v>6575</v>
      </c>
    </row>
    <row r="9" spans="2:39">
      <c r="C9" s="161" t="s">
        <v>504</v>
      </c>
      <c r="D9" s="162">
        <v>5377</v>
      </c>
      <c r="E9" s="163">
        <v>2941</v>
      </c>
      <c r="F9" s="163">
        <v>2436</v>
      </c>
    </row>
    <row r="10" spans="2:39">
      <c r="C10" s="164" t="s">
        <v>505</v>
      </c>
      <c r="D10" s="159">
        <v>9365</v>
      </c>
      <c r="E10" s="165">
        <v>4946</v>
      </c>
      <c r="F10" s="165">
        <v>4419</v>
      </c>
    </row>
    <row r="11" spans="2:39">
      <c r="C11" s="161" t="s">
        <v>506</v>
      </c>
      <c r="D11" s="162">
        <v>1679</v>
      </c>
      <c r="E11" s="163">
        <v>856</v>
      </c>
      <c r="F11" s="163">
        <v>823</v>
      </c>
    </row>
    <row r="12" spans="2:39">
      <c r="C12" s="164" t="s">
        <v>507</v>
      </c>
      <c r="D12" s="159">
        <v>2880</v>
      </c>
      <c r="E12" s="165">
        <v>1515</v>
      </c>
      <c r="F12" s="165">
        <v>1365</v>
      </c>
    </row>
    <row r="13" spans="2:39">
      <c r="C13" s="161" t="s">
        <v>508</v>
      </c>
      <c r="D13" s="162">
        <v>10972</v>
      </c>
      <c r="E13" s="163">
        <v>5672</v>
      </c>
      <c r="F13" s="163">
        <v>5300</v>
      </c>
    </row>
    <row r="14" spans="2:39">
      <c r="C14" s="164" t="s">
        <v>509</v>
      </c>
      <c r="D14" s="159">
        <v>4134</v>
      </c>
      <c r="E14" s="165">
        <v>2236</v>
      </c>
      <c r="F14" s="165">
        <v>1898</v>
      </c>
    </row>
    <row r="15" spans="2:39">
      <c r="C15" s="161" t="s">
        <v>510</v>
      </c>
      <c r="D15" s="162">
        <v>72165</v>
      </c>
      <c r="E15" s="163">
        <v>38899</v>
      </c>
      <c r="F15" s="163">
        <v>33266</v>
      </c>
    </row>
    <row r="16" spans="2:39">
      <c r="C16" s="164" t="s">
        <v>511</v>
      </c>
      <c r="D16" s="159">
        <v>1855</v>
      </c>
      <c r="E16" s="165">
        <v>1004</v>
      </c>
      <c r="F16" s="165">
        <v>851</v>
      </c>
    </row>
    <row r="17" spans="3:6">
      <c r="C17" s="161" t="s">
        <v>512</v>
      </c>
      <c r="D17" s="162">
        <v>15120</v>
      </c>
      <c r="E17" s="163">
        <v>8118</v>
      </c>
      <c r="F17" s="163">
        <v>7002</v>
      </c>
    </row>
    <row r="18" spans="3:6">
      <c r="C18" s="164" t="s">
        <v>513</v>
      </c>
      <c r="D18" s="159">
        <v>182319</v>
      </c>
      <c r="E18" s="165">
        <v>93527</v>
      </c>
      <c r="F18" s="165">
        <v>88792</v>
      </c>
    </row>
    <row r="19" spans="3:6">
      <c r="C19" s="161" t="s">
        <v>514</v>
      </c>
      <c r="D19" s="162">
        <v>2654</v>
      </c>
      <c r="E19" s="163">
        <v>1428</v>
      </c>
      <c r="F19" s="163">
        <v>1226</v>
      </c>
    </row>
    <row r="20" spans="3:6">
      <c r="C20" s="164" t="s">
        <v>515</v>
      </c>
      <c r="D20" s="159">
        <v>26439</v>
      </c>
      <c r="E20" s="165">
        <v>13657</v>
      </c>
      <c r="F20" s="165">
        <v>12782</v>
      </c>
    </row>
    <row r="21" spans="3:6">
      <c r="C21" s="161" t="s">
        <v>516</v>
      </c>
      <c r="D21" s="162">
        <v>22996</v>
      </c>
      <c r="E21" s="163">
        <v>12642</v>
      </c>
      <c r="F21" s="163">
        <v>10354</v>
      </c>
    </row>
    <row r="22" spans="3:6">
      <c r="C22" s="164" t="s">
        <v>517</v>
      </c>
      <c r="D22" s="159">
        <v>48529</v>
      </c>
      <c r="E22" s="165">
        <v>24887</v>
      </c>
      <c r="F22" s="165">
        <v>23642</v>
      </c>
    </row>
    <row r="23" spans="3:6">
      <c r="C23" s="161" t="s">
        <v>518</v>
      </c>
      <c r="D23" s="162">
        <v>2567</v>
      </c>
      <c r="E23" s="163">
        <v>1453</v>
      </c>
      <c r="F23" s="163">
        <v>1114</v>
      </c>
    </row>
    <row r="24" spans="3:6">
      <c r="C24" s="164" t="s">
        <v>519</v>
      </c>
      <c r="D24" s="159">
        <v>1807</v>
      </c>
      <c r="E24" s="165">
        <v>870</v>
      </c>
      <c r="F24" s="165">
        <v>937</v>
      </c>
    </row>
    <row r="25" spans="3:6">
      <c r="C25" s="161" t="s">
        <v>520</v>
      </c>
      <c r="D25" s="162">
        <v>4585</v>
      </c>
      <c r="E25" s="163">
        <v>2526</v>
      </c>
      <c r="F25" s="163">
        <v>2059</v>
      </c>
    </row>
    <row r="26" spans="3:6">
      <c r="C26" s="164" t="s">
        <v>521</v>
      </c>
      <c r="D26" s="159">
        <v>3740</v>
      </c>
      <c r="E26" s="165">
        <v>2160</v>
      </c>
      <c r="F26" s="165">
        <v>1580</v>
      </c>
    </row>
    <row r="27" spans="3:6">
      <c r="C27" s="161" t="s">
        <v>522</v>
      </c>
      <c r="D27" s="162">
        <v>7201</v>
      </c>
      <c r="E27" s="163">
        <v>3911</v>
      </c>
      <c r="F27" s="163">
        <v>3290</v>
      </c>
    </row>
    <row r="28" spans="3:6">
      <c r="C28" s="157"/>
      <c r="D28" s="166"/>
      <c r="E28" s="166"/>
      <c r="F28" s="166"/>
    </row>
    <row r="29" spans="3:6">
      <c r="C29" s="167" t="s">
        <v>523</v>
      </c>
      <c r="D29" s="168">
        <v>440277</v>
      </c>
      <c r="E29" s="168">
        <v>230566</v>
      </c>
      <c r="F29" s="168">
        <v>209711</v>
      </c>
    </row>
    <row r="32" spans="3:6">
      <c r="C32" s="157" t="s">
        <v>533</v>
      </c>
      <c r="D32" s="157"/>
    </row>
  </sheetData>
  <mergeCells count="6">
    <mergeCell ref="C1:AM1"/>
    <mergeCell ref="C5:F5"/>
    <mergeCell ref="C6:C7"/>
    <mergeCell ref="E6:E7"/>
    <mergeCell ref="F6:F7"/>
    <mergeCell ref="D6:D7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B1:AM25"/>
  <sheetViews>
    <sheetView workbookViewId="0"/>
  </sheetViews>
  <sheetFormatPr defaultRowHeight="15"/>
  <cols>
    <col min="1" max="1" width="2.28515625" customWidth="1"/>
    <col min="2" max="2" width="5.7109375" customWidth="1"/>
    <col min="3" max="3" width="14.7109375" customWidth="1"/>
    <col min="4" max="5" width="11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118</v>
      </c>
    </row>
    <row r="6" spans="2:39" ht="16.5" customHeight="1">
      <c r="C6" s="1173" t="s">
        <v>836</v>
      </c>
      <c r="D6" s="1284">
        <v>2000</v>
      </c>
      <c r="E6" s="1286">
        <v>2006</v>
      </c>
    </row>
    <row r="7" spans="2:39" ht="16.5" customHeight="1">
      <c r="C7" s="1283"/>
      <c r="D7" s="1285"/>
      <c r="E7" s="1287"/>
    </row>
    <row r="8" spans="2:39" ht="17.25" customHeight="1">
      <c r="C8" s="761" t="s">
        <v>432</v>
      </c>
      <c r="D8" s="750">
        <v>470</v>
      </c>
      <c r="E8" s="760">
        <v>474</v>
      </c>
    </row>
    <row r="9" spans="2:39" ht="17.25" customHeight="1">
      <c r="C9" s="758" t="s">
        <v>837</v>
      </c>
      <c r="D9" s="737">
        <v>472</v>
      </c>
      <c r="E9" s="737">
        <v>479</v>
      </c>
    </row>
    <row r="10" spans="2:39" ht="17.25" customHeight="1">
      <c r="C10" s="758" t="s">
        <v>838</v>
      </c>
      <c r="D10" s="737">
        <v>450</v>
      </c>
      <c r="E10" s="737">
        <v>412</v>
      </c>
    </row>
    <row r="11" spans="2:39" ht="17.25" customHeight="1">
      <c r="C11" s="759" t="s">
        <v>839</v>
      </c>
      <c r="D11" s="738">
        <v>463</v>
      </c>
      <c r="E11" s="738">
        <v>445</v>
      </c>
    </row>
    <row r="25" spans="3:3">
      <c r="C25" s="2" t="s">
        <v>840</v>
      </c>
    </row>
  </sheetData>
  <mergeCells count="4">
    <mergeCell ref="C6:C7"/>
    <mergeCell ref="D6:D7"/>
    <mergeCell ref="E6:E7"/>
    <mergeCell ref="C1:AM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B1:AM39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0"/>
      <c r="C1" s="1203" t="s">
        <v>44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120</v>
      </c>
    </row>
    <row r="6" spans="2:39" ht="59.25" customHeight="1">
      <c r="P6" s="765" t="s">
        <v>841</v>
      </c>
      <c r="Q6" s="762"/>
      <c r="R6" s="1288" t="s">
        <v>843</v>
      </c>
      <c r="S6" s="1288"/>
      <c r="T6" s="1288"/>
      <c r="U6" s="763"/>
      <c r="V6" s="1288" t="s">
        <v>844</v>
      </c>
      <c r="W6" s="1288"/>
      <c r="X6" s="1288"/>
      <c r="Y6" s="763"/>
      <c r="Z6" s="1288" t="s">
        <v>845</v>
      </c>
      <c r="AA6" s="1288"/>
      <c r="AB6" s="1288"/>
      <c r="AC6" s="763"/>
    </row>
    <row r="7" spans="2:39">
      <c r="C7" s="769" t="s">
        <v>848</v>
      </c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763"/>
      <c r="AB7" s="763"/>
      <c r="AC7" s="763"/>
    </row>
    <row r="8" spans="2:39" s="453" customFormat="1">
      <c r="C8" s="769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</row>
    <row r="9" spans="2:39">
      <c r="C9" s="2" t="s">
        <v>849</v>
      </c>
      <c r="P9" s="763"/>
      <c r="Q9" s="763"/>
      <c r="R9" s="763"/>
      <c r="S9" s="763"/>
      <c r="T9" s="763"/>
      <c r="U9" s="763"/>
      <c r="V9" s="763"/>
      <c r="W9" s="763"/>
      <c r="X9" s="763"/>
      <c r="Y9" s="763"/>
      <c r="Z9" s="763"/>
      <c r="AA9" s="763"/>
      <c r="AB9" s="763"/>
      <c r="AC9" s="763"/>
    </row>
    <row r="10" spans="2:39">
      <c r="C10" s="768" t="s">
        <v>847</v>
      </c>
      <c r="P10" s="763"/>
      <c r="Q10" s="763"/>
      <c r="R10" s="763"/>
      <c r="S10" s="763"/>
      <c r="T10" s="763"/>
      <c r="U10" s="763"/>
      <c r="V10" s="763"/>
      <c r="W10" s="763"/>
      <c r="X10" s="763"/>
      <c r="Y10" s="763"/>
      <c r="Z10" s="763"/>
      <c r="AA10" s="763"/>
      <c r="AB10" s="763"/>
      <c r="AC10" s="763"/>
    </row>
    <row r="11" spans="2:39">
      <c r="P11" s="763"/>
      <c r="Q11" s="763"/>
      <c r="R11" s="763"/>
      <c r="S11" s="763"/>
      <c r="T11" s="763"/>
      <c r="U11" s="763"/>
      <c r="V11" s="763"/>
      <c r="W11" s="763"/>
      <c r="X11" s="763"/>
      <c r="Y11" s="763"/>
      <c r="Z11" s="763"/>
      <c r="AA11" s="763"/>
      <c r="AB11" s="763"/>
      <c r="AC11" s="763"/>
    </row>
    <row r="12" spans="2:39">
      <c r="P12" s="763"/>
      <c r="Q12" s="763"/>
      <c r="R12" s="763"/>
      <c r="S12" s="763"/>
      <c r="T12" s="763"/>
      <c r="U12" s="763"/>
      <c r="V12" s="763"/>
      <c r="W12" s="763"/>
      <c r="X12" s="763"/>
      <c r="Y12" s="763"/>
      <c r="Z12" s="763"/>
      <c r="AA12" s="763"/>
      <c r="AB12" s="763"/>
      <c r="AC12" s="763"/>
    </row>
    <row r="13" spans="2:39">
      <c r="P13" s="763"/>
      <c r="Q13" s="763"/>
      <c r="R13" s="763"/>
      <c r="S13" s="763"/>
      <c r="T13" s="763"/>
      <c r="U13" s="763"/>
      <c r="V13" s="763"/>
      <c r="W13" s="763"/>
      <c r="X13" s="763"/>
      <c r="Y13" s="763"/>
      <c r="Z13" s="763"/>
      <c r="AA13" s="763"/>
      <c r="AB13" s="763"/>
      <c r="AC13" s="763"/>
    </row>
    <row r="14" spans="2:39">
      <c r="P14" s="763"/>
      <c r="Q14" s="763"/>
      <c r="R14" s="763"/>
      <c r="S14" s="763"/>
      <c r="T14" s="763"/>
      <c r="U14" s="763"/>
      <c r="V14" s="763"/>
      <c r="W14" s="763"/>
      <c r="X14" s="763"/>
      <c r="Y14" s="763"/>
      <c r="Z14" s="763"/>
      <c r="AA14" s="763"/>
      <c r="AB14" s="763"/>
      <c r="AC14" s="763"/>
    </row>
    <row r="15" spans="2:39">
      <c r="P15" s="763"/>
      <c r="Q15" s="763"/>
      <c r="R15" s="763"/>
      <c r="S15" s="763"/>
      <c r="T15" s="763"/>
      <c r="U15" s="763"/>
      <c r="V15" s="763"/>
      <c r="W15" s="763"/>
      <c r="X15" s="763"/>
      <c r="Y15" s="763"/>
      <c r="Z15" s="763"/>
      <c r="AA15" s="763"/>
      <c r="AB15" s="763"/>
      <c r="AC15" s="763"/>
    </row>
    <row r="16" spans="2:39"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</row>
    <row r="17" spans="16:29">
      <c r="P17" s="763"/>
      <c r="Q17" s="763"/>
      <c r="R17" s="763"/>
      <c r="S17" s="763"/>
      <c r="T17" s="763"/>
      <c r="U17" s="763"/>
      <c r="V17" s="763"/>
      <c r="W17" s="763"/>
      <c r="X17" s="763"/>
      <c r="Y17" s="763"/>
      <c r="Z17" s="763"/>
      <c r="AA17" s="763"/>
      <c r="AB17" s="763"/>
      <c r="AC17" s="763"/>
    </row>
    <row r="18" spans="16:29">
      <c r="P18" s="763"/>
      <c r="Q18" s="763"/>
      <c r="R18" s="763"/>
      <c r="S18" s="763"/>
      <c r="T18" s="763"/>
      <c r="U18" s="763"/>
      <c r="V18" s="763"/>
      <c r="W18" s="763"/>
      <c r="X18" s="763"/>
      <c r="Y18" s="763"/>
      <c r="Z18" s="763"/>
      <c r="AA18" s="763"/>
      <c r="AB18" s="763"/>
      <c r="AC18" s="763"/>
    </row>
    <row r="19" spans="16:29">
      <c r="P19" s="763"/>
      <c r="Q19" s="763"/>
      <c r="R19" s="763"/>
      <c r="S19" s="763"/>
      <c r="T19" s="763"/>
      <c r="U19" s="763"/>
      <c r="V19" s="763"/>
      <c r="W19" s="763"/>
      <c r="X19" s="763"/>
      <c r="Y19" s="763"/>
      <c r="Z19" s="763"/>
      <c r="AA19" s="763"/>
      <c r="AB19" s="763"/>
      <c r="AC19" s="763"/>
    </row>
    <row r="20" spans="16:29"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763"/>
      <c r="AA20" s="763"/>
      <c r="AB20" s="763"/>
      <c r="AC20" s="763"/>
    </row>
    <row r="21" spans="16:29"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</row>
    <row r="22" spans="16:29"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</row>
    <row r="23" spans="16:29"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</row>
    <row r="24" spans="16:29">
      <c r="P24" s="763"/>
      <c r="Q24" s="763"/>
      <c r="R24" s="763"/>
      <c r="S24" s="763"/>
      <c r="T24" s="763"/>
      <c r="U24" s="763"/>
      <c r="V24" s="763"/>
      <c r="W24" s="763"/>
      <c r="X24" s="763"/>
      <c r="Y24" s="763"/>
      <c r="Z24" s="763"/>
      <c r="AA24" s="763"/>
      <c r="AB24" s="763"/>
      <c r="AC24" s="763"/>
    </row>
    <row r="25" spans="16:29">
      <c r="P25" s="763"/>
      <c r="Q25" s="763"/>
      <c r="R25" s="763"/>
      <c r="S25" s="763"/>
      <c r="T25" s="763"/>
      <c r="U25" s="763"/>
      <c r="V25" s="763"/>
      <c r="W25" s="763"/>
      <c r="X25" s="763"/>
      <c r="Y25" s="763"/>
      <c r="Z25" s="763"/>
      <c r="AA25" s="763"/>
      <c r="AB25" s="763"/>
      <c r="AC25" s="763"/>
    </row>
    <row r="26" spans="16:29"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63"/>
      <c r="AA26" s="763"/>
      <c r="AB26" s="763"/>
      <c r="AC26" s="763"/>
    </row>
    <row r="27" spans="16:29"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</row>
    <row r="28" spans="16:29"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</row>
    <row r="29" spans="16:29">
      <c r="P29" s="763"/>
      <c r="Q29" s="763"/>
      <c r="R29" s="763"/>
      <c r="S29" s="763"/>
      <c r="T29" s="763"/>
      <c r="U29" s="763"/>
      <c r="V29" s="763"/>
      <c r="W29" s="763"/>
      <c r="X29" s="763"/>
      <c r="Y29" s="763"/>
      <c r="Z29" s="763"/>
      <c r="AA29" s="763"/>
      <c r="AB29" s="763"/>
      <c r="AC29" s="763"/>
    </row>
    <row r="30" spans="16:29">
      <c r="P30" s="763"/>
      <c r="Q30" s="763"/>
      <c r="R30" s="763"/>
      <c r="S30" s="763"/>
      <c r="T30" s="763"/>
      <c r="U30" s="763"/>
      <c r="V30" s="763"/>
      <c r="W30" s="763"/>
      <c r="X30" s="763"/>
      <c r="Y30" s="763"/>
      <c r="Z30" s="763"/>
      <c r="AA30" s="763"/>
      <c r="AB30" s="763"/>
      <c r="AC30" s="763"/>
    </row>
    <row r="31" spans="16:29">
      <c r="P31" s="763"/>
      <c r="Q31" s="763"/>
      <c r="R31" s="763"/>
      <c r="S31" s="763"/>
      <c r="T31" s="763"/>
      <c r="U31" s="763"/>
      <c r="V31" s="763"/>
      <c r="W31" s="763"/>
      <c r="X31" s="763"/>
      <c r="Y31" s="763"/>
      <c r="Z31" s="763"/>
      <c r="AA31" s="763"/>
      <c r="AB31" s="763"/>
      <c r="AC31" s="763"/>
    </row>
    <row r="32" spans="16:29">
      <c r="P32" s="763"/>
      <c r="Q32" s="763"/>
      <c r="R32" s="763"/>
      <c r="S32" s="763"/>
      <c r="T32" s="763"/>
      <c r="U32" s="763"/>
      <c r="V32" s="763"/>
      <c r="W32" s="763"/>
      <c r="X32" s="763"/>
      <c r="Y32" s="763"/>
      <c r="Z32" s="763"/>
      <c r="AA32" s="763"/>
      <c r="AB32" s="763"/>
      <c r="AC32" s="763"/>
    </row>
    <row r="33" spans="16:29">
      <c r="P33" s="763"/>
      <c r="Q33" s="763"/>
      <c r="R33" s="763"/>
      <c r="S33" s="763"/>
      <c r="T33" s="763"/>
      <c r="U33" s="763"/>
      <c r="V33" s="763"/>
      <c r="W33" s="763"/>
      <c r="X33" s="763"/>
      <c r="Y33" s="763"/>
      <c r="Z33" s="763"/>
      <c r="AA33" s="763"/>
      <c r="AB33" s="763"/>
      <c r="AC33" s="763"/>
    </row>
    <row r="34" spans="16:29">
      <c r="P34" s="763"/>
      <c r="Q34" s="763"/>
      <c r="R34" s="763"/>
      <c r="S34" s="763"/>
      <c r="T34" s="763"/>
      <c r="U34" s="763"/>
      <c r="V34" s="763"/>
      <c r="W34" s="763"/>
      <c r="X34" s="763"/>
      <c r="Y34" s="763"/>
      <c r="Z34" s="763"/>
      <c r="AA34" s="763"/>
      <c r="AB34" s="763"/>
      <c r="AC34" s="763"/>
    </row>
    <row r="35" spans="16:29">
      <c r="P35" s="763"/>
      <c r="Q35" s="763"/>
      <c r="R35" s="763"/>
      <c r="S35" s="763"/>
      <c r="T35" s="763"/>
      <c r="U35" s="763"/>
      <c r="V35" s="763"/>
      <c r="W35" s="763"/>
      <c r="X35" s="763"/>
      <c r="Y35" s="763"/>
      <c r="Z35" s="763"/>
      <c r="AA35" s="763"/>
      <c r="AB35" s="763"/>
      <c r="AC35" s="763"/>
    </row>
    <row r="36" spans="16:29">
      <c r="P36" s="763"/>
      <c r="Q36" s="763"/>
      <c r="R36" s="763"/>
      <c r="S36" s="763"/>
      <c r="T36" s="763"/>
      <c r="U36" s="763"/>
      <c r="V36" s="763"/>
      <c r="W36" s="763"/>
      <c r="X36" s="763"/>
      <c r="Y36" s="763"/>
      <c r="Z36" s="763"/>
      <c r="AA36" s="763"/>
      <c r="AB36" s="763"/>
      <c r="AC36" s="763"/>
    </row>
    <row r="37" spans="16:29">
      <c r="P37" s="763"/>
      <c r="Q37" s="763"/>
      <c r="R37" s="763"/>
      <c r="S37" s="766" t="s">
        <v>842</v>
      </c>
      <c r="T37" s="763"/>
      <c r="U37" s="763"/>
      <c r="V37" s="763"/>
      <c r="W37" s="763"/>
      <c r="X37" s="763"/>
      <c r="Y37" s="763"/>
      <c r="Z37" s="763"/>
      <c r="AA37" s="763"/>
      <c r="AB37" s="763"/>
      <c r="AC37" s="763"/>
    </row>
    <row r="38" spans="16:29">
      <c r="P38" s="763"/>
      <c r="Q38" s="763"/>
      <c r="R38" s="763"/>
      <c r="S38" s="763"/>
      <c r="T38" s="763"/>
      <c r="U38" s="763"/>
      <c r="V38" s="763"/>
      <c r="W38" s="763"/>
      <c r="X38" s="763"/>
      <c r="Y38" s="763"/>
      <c r="Z38" s="763"/>
      <c r="AA38" s="763"/>
      <c r="AB38" s="763"/>
      <c r="AC38" s="763"/>
    </row>
    <row r="39" spans="16:29">
      <c r="P39" s="767" t="s">
        <v>846</v>
      </c>
      <c r="Q39" s="764"/>
      <c r="R39" s="763"/>
      <c r="S39" s="763"/>
      <c r="T39" s="763"/>
      <c r="U39" s="763"/>
      <c r="V39" s="763"/>
      <c r="W39" s="763"/>
      <c r="X39" s="763"/>
      <c r="Y39" s="763"/>
      <c r="Z39" s="763"/>
      <c r="AA39" s="763"/>
      <c r="AB39" s="763"/>
      <c r="AC39" s="763"/>
    </row>
  </sheetData>
  <mergeCells count="4">
    <mergeCell ref="R6:T6"/>
    <mergeCell ref="V6:X6"/>
    <mergeCell ref="Z6:AB6"/>
    <mergeCell ref="C1:AM1"/>
  </mergeCells>
  <hyperlinks>
    <hyperlink ref="C10" r:id="rId1" location="tables_figures_dbase "/>
  </hyperlinks>
  <pageMargins left="0.7" right="0.7" top="0.75" bottom="0.75" header="0.3" footer="0.3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B1:AM33"/>
  <sheetViews>
    <sheetView workbookViewId="0"/>
  </sheetViews>
  <sheetFormatPr defaultRowHeight="15"/>
  <cols>
    <col min="1" max="1" width="2.28515625" customWidth="1"/>
    <col min="2" max="2" width="5.7109375" customWidth="1"/>
    <col min="3" max="3" width="51.28515625" customWidth="1"/>
    <col min="4" max="4" width="10.85546875" customWidth="1"/>
    <col min="5" max="5" width="7.85546875" customWidth="1"/>
    <col min="6" max="6" width="10.14062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158</v>
      </c>
    </row>
    <row r="5" spans="2:39" ht="22.5" customHeight="1">
      <c r="C5" s="695" t="s">
        <v>850</v>
      </c>
      <c r="D5" s="111" t="s">
        <v>332</v>
      </c>
    </row>
    <row r="6" spans="2:39" ht="17.25" customHeight="1">
      <c r="C6" s="771" t="s">
        <v>851</v>
      </c>
      <c r="D6" s="772">
        <v>0.11876075731497418</v>
      </c>
    </row>
    <row r="7" spans="2:39" ht="17.25" customHeight="1">
      <c r="C7" s="771" t="s">
        <v>852</v>
      </c>
      <c r="D7" s="772">
        <v>0.10993975903614457</v>
      </c>
    </row>
    <row r="8" spans="2:39" ht="17.25" customHeight="1">
      <c r="C8" s="771" t="s">
        <v>853</v>
      </c>
      <c r="D8" s="772">
        <v>9.7676419965576591E-2</v>
      </c>
    </row>
    <row r="9" spans="2:39" ht="17.25" customHeight="1">
      <c r="C9" s="771" t="s">
        <v>854</v>
      </c>
      <c r="D9" s="772">
        <v>8.9931153184165238E-2</v>
      </c>
    </row>
    <row r="10" spans="2:39" ht="17.25" customHeight="1">
      <c r="C10" s="771" t="s">
        <v>855</v>
      </c>
      <c r="D10" s="772">
        <v>8.6703958691910499E-2</v>
      </c>
    </row>
    <row r="11" spans="2:39" ht="17.25" customHeight="1">
      <c r="C11" s="771" t="s">
        <v>856</v>
      </c>
      <c r="D11" s="772">
        <v>7.9173838209982791E-2</v>
      </c>
    </row>
    <row r="12" spans="2:39" ht="17.25" customHeight="1">
      <c r="C12" s="771" t="s">
        <v>857</v>
      </c>
      <c r="D12" s="772">
        <v>7.6807228915662648E-2</v>
      </c>
    </row>
    <row r="13" spans="2:39" ht="17.25" customHeight="1">
      <c r="C13" s="771" t="s">
        <v>858</v>
      </c>
      <c r="D13" s="772">
        <v>4.3029259896729774E-2</v>
      </c>
    </row>
    <row r="14" spans="2:39" ht="17.25" customHeight="1">
      <c r="C14" s="771" t="s">
        <v>859</v>
      </c>
      <c r="D14" s="772">
        <v>4.0232358003442339E-2</v>
      </c>
    </row>
    <row r="15" spans="2:39" ht="17.25" customHeight="1">
      <c r="C15" s="771" t="s">
        <v>860</v>
      </c>
      <c r="D15" s="772">
        <v>3.9156626506024098E-2</v>
      </c>
    </row>
    <row r="16" spans="2:39" ht="17.25" customHeight="1">
      <c r="C16" s="771" t="s">
        <v>861</v>
      </c>
      <c r="D16" s="772">
        <v>3.4423407917383818E-2</v>
      </c>
    </row>
    <row r="17" spans="3:5" ht="17.25" customHeight="1">
      <c r="C17" s="771" t="s">
        <v>862</v>
      </c>
      <c r="D17" s="772">
        <v>2.9475043029259896E-2</v>
      </c>
    </row>
    <row r="18" spans="3:5" ht="17.25" customHeight="1">
      <c r="C18" s="771" t="s">
        <v>863</v>
      </c>
      <c r="D18" s="772">
        <v>0.15469018932874354</v>
      </c>
    </row>
    <row r="19" spans="3:5">
      <c r="C19" s="773" t="s">
        <v>864</v>
      </c>
      <c r="D19" s="774">
        <v>2.086919104991394E-2</v>
      </c>
      <c r="E19" s="1289" t="s">
        <v>880</v>
      </c>
    </row>
    <row r="20" spans="3:5">
      <c r="C20" s="775" t="s">
        <v>865</v>
      </c>
      <c r="D20" s="776">
        <v>2.086919104991394E-2</v>
      </c>
      <c r="E20" s="1290"/>
    </row>
    <row r="21" spans="3:5">
      <c r="C21" s="775" t="s">
        <v>866</v>
      </c>
      <c r="D21" s="776">
        <v>1.9793459552495698E-2</v>
      </c>
      <c r="E21" s="1290"/>
    </row>
    <row r="22" spans="3:5">
      <c r="C22" s="775" t="s">
        <v>867</v>
      </c>
      <c r="D22" s="776">
        <v>1.8717728055077452E-2</v>
      </c>
      <c r="E22" s="1290"/>
    </row>
    <row r="23" spans="3:5">
      <c r="C23" s="775" t="s">
        <v>868</v>
      </c>
      <c r="D23" s="776">
        <v>1.8072289156626505E-2</v>
      </c>
      <c r="E23" s="1290"/>
    </row>
    <row r="24" spans="3:5">
      <c r="C24" s="775" t="s">
        <v>869</v>
      </c>
      <c r="D24" s="776">
        <v>1.7857142857142856E-2</v>
      </c>
      <c r="E24" s="1290"/>
    </row>
    <row r="25" spans="3:5">
      <c r="C25" s="775" t="s">
        <v>870</v>
      </c>
      <c r="D25" s="776">
        <v>1.7641996557659207E-2</v>
      </c>
      <c r="E25" s="1290"/>
    </row>
    <row r="26" spans="3:5">
      <c r="C26" s="775" t="s">
        <v>871</v>
      </c>
      <c r="D26" s="776">
        <v>1.5060240963855422E-2</v>
      </c>
      <c r="E26" s="1290"/>
    </row>
    <row r="27" spans="3:5">
      <c r="C27" s="775" t="s">
        <v>872</v>
      </c>
      <c r="D27" s="776">
        <v>3.2271944922547331E-3</v>
      </c>
      <c r="E27" s="1290"/>
    </row>
    <row r="28" spans="3:5">
      <c r="C28" s="775" t="s">
        <v>873</v>
      </c>
      <c r="D28" s="776">
        <v>2.3666092943201377E-3</v>
      </c>
      <c r="E28" s="1290"/>
    </row>
    <row r="29" spans="3:5">
      <c r="C29" s="777" t="s">
        <v>874</v>
      </c>
      <c r="D29" s="778">
        <v>2.1514629948364889E-4</v>
      </c>
      <c r="E29" s="1290"/>
    </row>
    <row r="33" spans="3:3">
      <c r="C33" s="2" t="s">
        <v>881</v>
      </c>
    </row>
  </sheetData>
  <mergeCells count="2">
    <mergeCell ref="E19:E29"/>
    <mergeCell ref="C1:AM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B1:AM31"/>
  <sheetViews>
    <sheetView workbookViewId="0"/>
  </sheetViews>
  <sheetFormatPr defaultRowHeight="15"/>
  <cols>
    <col min="1" max="1" width="2.28515625" customWidth="1"/>
    <col min="2" max="2" width="5.7109375" customWidth="1"/>
    <col min="3" max="3" width="21.140625" customWidth="1"/>
    <col min="4" max="5" width="12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160</v>
      </c>
    </row>
    <row r="5" spans="2:39" ht="22.5" customHeight="1">
      <c r="C5" s="695" t="s">
        <v>875</v>
      </c>
      <c r="D5" s="707" t="s">
        <v>876</v>
      </c>
      <c r="E5" s="111" t="s">
        <v>332</v>
      </c>
    </row>
    <row r="6" spans="2:39" ht="17.25" customHeight="1">
      <c r="C6" s="771" t="s">
        <v>659</v>
      </c>
      <c r="D6" s="781">
        <v>1386</v>
      </c>
      <c r="E6" s="782">
        <v>0.28518518518518521</v>
      </c>
    </row>
    <row r="7" spans="2:39" ht="17.25" customHeight="1">
      <c r="C7" s="526" t="s">
        <v>661</v>
      </c>
      <c r="D7" s="779">
        <v>886</v>
      </c>
      <c r="E7" s="780">
        <v>0.18230452674897119</v>
      </c>
    </row>
    <row r="8" spans="2:39" ht="17.25" customHeight="1">
      <c r="C8" s="771" t="s">
        <v>654</v>
      </c>
      <c r="D8" s="781">
        <v>391</v>
      </c>
      <c r="E8" s="782">
        <v>8.0452674897119339E-2</v>
      </c>
    </row>
    <row r="9" spans="2:39" ht="17.25" customHeight="1">
      <c r="C9" s="526" t="s">
        <v>651</v>
      </c>
      <c r="D9" s="779">
        <v>333</v>
      </c>
      <c r="E9" s="780">
        <v>6.851851851851852E-2</v>
      </c>
    </row>
    <row r="10" spans="2:39" ht="17.25" customHeight="1">
      <c r="C10" s="771" t="s">
        <v>663</v>
      </c>
      <c r="D10" s="781">
        <v>217</v>
      </c>
      <c r="E10" s="782">
        <v>4.4650205761316869E-2</v>
      </c>
    </row>
    <row r="11" spans="2:39" ht="17.25" customHeight="1">
      <c r="C11" s="526" t="s">
        <v>656</v>
      </c>
      <c r="D11" s="779">
        <v>195</v>
      </c>
      <c r="E11" s="780">
        <v>4.0123456790123455E-2</v>
      </c>
    </row>
    <row r="12" spans="2:39" ht="17.25" customHeight="1">
      <c r="C12" s="771" t="s">
        <v>877</v>
      </c>
      <c r="D12" s="781">
        <v>189</v>
      </c>
      <c r="E12" s="782">
        <v>3.888888888888889E-2</v>
      </c>
    </row>
    <row r="13" spans="2:39" ht="17.25" customHeight="1">
      <c r="C13" s="526" t="s">
        <v>649</v>
      </c>
      <c r="D13" s="779">
        <v>187</v>
      </c>
      <c r="E13" s="780">
        <v>3.847736625514403E-2</v>
      </c>
    </row>
    <row r="14" spans="2:39" ht="17.25" customHeight="1">
      <c r="C14" s="771" t="s">
        <v>655</v>
      </c>
      <c r="D14" s="781">
        <v>169</v>
      </c>
      <c r="E14" s="782">
        <v>3.4773662551440328E-2</v>
      </c>
    </row>
    <row r="15" spans="2:39" ht="17.25" customHeight="1">
      <c r="C15" s="526" t="s">
        <v>658</v>
      </c>
      <c r="D15" s="779">
        <v>127</v>
      </c>
      <c r="E15" s="780">
        <v>2.6131687242798355E-2</v>
      </c>
    </row>
    <row r="16" spans="2:39" ht="17.25" customHeight="1">
      <c r="C16" s="771" t="s">
        <v>665</v>
      </c>
      <c r="D16" s="781">
        <v>126</v>
      </c>
      <c r="E16" s="782">
        <v>2.5925925925925925E-2</v>
      </c>
    </row>
    <row r="17" spans="3:12" ht="17.25" customHeight="1">
      <c r="C17" s="526" t="s">
        <v>662</v>
      </c>
      <c r="D17" s="779">
        <v>109</v>
      </c>
      <c r="E17" s="780">
        <v>2.2427983539094649E-2</v>
      </c>
    </row>
    <row r="18" spans="3:12" ht="17.25" customHeight="1">
      <c r="C18" s="771" t="s">
        <v>835</v>
      </c>
      <c r="D18" s="781">
        <v>102</v>
      </c>
      <c r="E18" s="782">
        <v>2.0987654320987655E-2</v>
      </c>
    </row>
    <row r="19" spans="3:12" ht="17.25" customHeight="1">
      <c r="C19" s="526" t="s">
        <v>666</v>
      </c>
      <c r="D19" s="779">
        <v>101</v>
      </c>
      <c r="E19" s="780">
        <v>2.0781893004115225E-2</v>
      </c>
    </row>
    <row r="20" spans="3:12" ht="17.25" customHeight="1">
      <c r="C20" s="771" t="s">
        <v>652</v>
      </c>
      <c r="D20" s="781">
        <v>91</v>
      </c>
      <c r="E20" s="782">
        <v>1.8724279835390947E-2</v>
      </c>
    </row>
    <row r="21" spans="3:12" ht="17.25" customHeight="1">
      <c r="C21" s="526" t="s">
        <v>878</v>
      </c>
      <c r="D21" s="779">
        <v>73</v>
      </c>
      <c r="E21" s="780">
        <v>1.5020576131687243E-2</v>
      </c>
    </row>
    <row r="22" spans="3:12" ht="17.25" customHeight="1">
      <c r="C22" s="771" t="s">
        <v>812</v>
      </c>
      <c r="D22" s="781">
        <v>69</v>
      </c>
      <c r="E22" s="782">
        <v>1.4197530864197531E-2</v>
      </c>
    </row>
    <row r="23" spans="3:12" ht="17.25" customHeight="1">
      <c r="C23" s="526" t="s">
        <v>660</v>
      </c>
      <c r="D23" s="779">
        <v>39</v>
      </c>
      <c r="E23" s="780">
        <v>8.024691358024692E-3</v>
      </c>
    </row>
    <row r="24" spans="3:12" ht="17.25" customHeight="1">
      <c r="C24" s="771" t="s">
        <v>650</v>
      </c>
      <c r="D24" s="781">
        <v>38</v>
      </c>
      <c r="E24" s="782">
        <v>7.8189300411522639E-3</v>
      </c>
    </row>
    <row r="25" spans="3:12" ht="17.25" customHeight="1">
      <c r="C25" s="526" t="s">
        <v>657</v>
      </c>
      <c r="D25" s="779">
        <v>32</v>
      </c>
      <c r="E25" s="780">
        <v>6.5843621399176953E-3</v>
      </c>
    </row>
    <row r="26" spans="3:12">
      <c r="C26" s="783" t="s">
        <v>469</v>
      </c>
      <c r="D26" s="784">
        <f>SUM(D6:D25)</f>
        <v>4860</v>
      </c>
      <c r="E26" s="785">
        <f>SUM(E6:E25)</f>
        <v>1</v>
      </c>
    </row>
    <row r="29" spans="3:12" s="436" customFormat="1" ht="31.5" customHeight="1">
      <c r="C29" s="1292" t="s">
        <v>879</v>
      </c>
      <c r="D29" s="1293"/>
      <c r="E29" s="1293"/>
      <c r="F29" s="1293"/>
      <c r="G29" s="1293"/>
      <c r="H29" s="1293"/>
      <c r="I29" s="1293"/>
      <c r="J29" s="1293"/>
      <c r="K29" s="1293"/>
      <c r="L29" s="1293"/>
    </row>
    <row r="31" spans="3:12">
      <c r="C31" s="2" t="s">
        <v>881</v>
      </c>
    </row>
  </sheetData>
  <mergeCells count="2">
    <mergeCell ref="C29:L29"/>
    <mergeCell ref="C1:AM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B1:AM22"/>
  <sheetViews>
    <sheetView workbookViewId="0"/>
  </sheetViews>
  <sheetFormatPr defaultRowHeight="15"/>
  <cols>
    <col min="1" max="1" width="2.28515625" customWidth="1"/>
    <col min="2" max="2" width="5.7109375" customWidth="1"/>
    <col min="3" max="3" width="11.7109375" customWidth="1"/>
    <col min="4" max="9" width="12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162</v>
      </c>
    </row>
    <row r="5" spans="2:39" ht="24" customHeight="1" thickBot="1">
      <c r="C5" s="1294" t="s">
        <v>726</v>
      </c>
      <c r="D5" s="1295" t="s">
        <v>904</v>
      </c>
      <c r="E5" s="1295"/>
      <c r="F5" s="1295"/>
      <c r="G5" s="1295" t="s">
        <v>905</v>
      </c>
      <c r="H5" s="1295"/>
      <c r="I5" s="1296"/>
    </row>
    <row r="6" spans="2:39" ht="25.5">
      <c r="C6" s="1294"/>
      <c r="D6" s="846" t="s">
        <v>906</v>
      </c>
      <c r="E6" s="846" t="s">
        <v>907</v>
      </c>
      <c r="F6" s="846" t="s">
        <v>908</v>
      </c>
      <c r="G6" s="846" t="s">
        <v>906</v>
      </c>
      <c r="H6" s="846" t="s">
        <v>907</v>
      </c>
      <c r="I6" s="847" t="s">
        <v>908</v>
      </c>
    </row>
    <row r="7" spans="2:39" ht="18" customHeight="1">
      <c r="C7" s="848" t="s">
        <v>909</v>
      </c>
      <c r="D7" s="849">
        <v>22303</v>
      </c>
      <c r="E7" s="850">
        <v>149649</v>
      </c>
      <c r="F7" s="851">
        <v>0.14903540952495506</v>
      </c>
      <c r="G7" s="852">
        <v>30573</v>
      </c>
      <c r="H7" s="850">
        <v>117774</v>
      </c>
      <c r="I7" s="853">
        <v>0.25959040195628919</v>
      </c>
    </row>
    <row r="8" spans="2:39" ht="18" customHeight="1">
      <c r="C8" s="854" t="s">
        <v>910</v>
      </c>
      <c r="D8" s="855">
        <v>34028</v>
      </c>
      <c r="E8" s="856">
        <v>152030</v>
      </c>
      <c r="F8" s="857">
        <v>0.22382424521476024</v>
      </c>
      <c r="G8" s="858">
        <v>38816</v>
      </c>
      <c r="H8" s="856">
        <v>117952</v>
      </c>
      <c r="I8" s="859">
        <v>0.32908301682040153</v>
      </c>
    </row>
    <row r="9" spans="2:39" ht="18" customHeight="1">
      <c r="C9" s="854" t="s">
        <v>911</v>
      </c>
      <c r="D9" s="855">
        <v>41871</v>
      </c>
      <c r="E9" s="856">
        <v>160829</v>
      </c>
      <c r="F9" s="857">
        <v>0.26034483830652433</v>
      </c>
      <c r="G9" s="858">
        <v>42717</v>
      </c>
      <c r="H9" s="856">
        <v>119589</v>
      </c>
      <c r="I9" s="859">
        <v>0.3571984045355342</v>
      </c>
    </row>
    <row r="10" spans="2:39" ht="18" customHeight="1">
      <c r="C10" s="854" t="s">
        <v>912</v>
      </c>
      <c r="D10" s="855">
        <v>43452</v>
      </c>
      <c r="E10" s="856">
        <v>167081</v>
      </c>
      <c r="F10" s="857">
        <v>0.26006547722362205</v>
      </c>
      <c r="G10" s="858">
        <v>40443</v>
      </c>
      <c r="H10" s="856">
        <v>120520</v>
      </c>
      <c r="I10" s="859">
        <v>0.33557085960836375</v>
      </c>
    </row>
    <row r="11" spans="2:39" ht="18" customHeight="1">
      <c r="C11" s="854" t="s">
        <v>913</v>
      </c>
      <c r="D11" s="855">
        <v>40874</v>
      </c>
      <c r="E11" s="856">
        <v>168972</v>
      </c>
      <c r="F11" s="857">
        <v>0.24189806595175531</v>
      </c>
      <c r="G11" s="858">
        <v>33760</v>
      </c>
      <c r="H11" s="856">
        <v>125089</v>
      </c>
      <c r="I11" s="859">
        <v>0.26988783985802106</v>
      </c>
    </row>
    <row r="12" spans="2:39" ht="18" customHeight="1">
      <c r="C12" s="854" t="s">
        <v>914</v>
      </c>
      <c r="D12" s="855">
        <v>32865</v>
      </c>
      <c r="E12" s="856">
        <v>165300</v>
      </c>
      <c r="F12" s="857">
        <v>0.19882032667876587</v>
      </c>
      <c r="G12" s="858">
        <v>25220</v>
      </c>
      <c r="H12" s="856">
        <v>128754</v>
      </c>
      <c r="I12" s="859">
        <v>0.19587740963387545</v>
      </c>
    </row>
    <row r="13" spans="2:39" ht="18" customHeight="1" thickBot="1">
      <c r="C13" s="860" t="s">
        <v>915</v>
      </c>
      <c r="D13" s="861">
        <v>24861</v>
      </c>
      <c r="E13" s="862">
        <v>159447</v>
      </c>
      <c r="F13" s="863">
        <v>0.1559201490150332</v>
      </c>
      <c r="G13" s="864">
        <v>20927</v>
      </c>
      <c r="H13" s="862">
        <v>137755</v>
      </c>
      <c r="I13" s="865">
        <v>0.15191463104787484</v>
      </c>
    </row>
    <row r="19" spans="3:3">
      <c r="C19" s="2" t="s">
        <v>917</v>
      </c>
    </row>
    <row r="20" spans="3:3">
      <c r="C20" s="866" t="s">
        <v>918</v>
      </c>
    </row>
    <row r="22" spans="3:3">
      <c r="C22" s="2" t="s">
        <v>916</v>
      </c>
    </row>
  </sheetData>
  <mergeCells count="4">
    <mergeCell ref="C5:C6"/>
    <mergeCell ref="D5:F5"/>
    <mergeCell ref="G5:I5"/>
    <mergeCell ref="C1:AM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B1:AM14"/>
  <sheetViews>
    <sheetView topLeftCell="W1" workbookViewId="0">
      <selection activeCell="S26" sqref="S26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31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164</v>
      </c>
    </row>
    <row r="5" spans="2:39" ht="20.25" customHeight="1">
      <c r="C5" s="697" t="s">
        <v>668</v>
      </c>
      <c r="D5" s="1300" t="s">
        <v>680</v>
      </c>
      <c r="E5" s="1298"/>
      <c r="F5" s="1300" t="s">
        <v>714</v>
      </c>
      <c r="G5" s="1298"/>
      <c r="H5" s="1300" t="s">
        <v>715</v>
      </c>
      <c r="I5" s="1298"/>
      <c r="J5" s="1300" t="s">
        <v>716</v>
      </c>
      <c r="K5" s="1298"/>
      <c r="L5" s="1300" t="s">
        <v>446</v>
      </c>
      <c r="M5" s="1298"/>
      <c r="N5" s="1300" t="s">
        <v>447</v>
      </c>
      <c r="O5" s="1298"/>
      <c r="P5" s="1300" t="s">
        <v>448</v>
      </c>
      <c r="Q5" s="1298"/>
      <c r="R5" s="1297" t="s">
        <v>449</v>
      </c>
      <c r="S5" s="1298"/>
      <c r="T5" s="1297" t="s">
        <v>450</v>
      </c>
      <c r="U5" s="1298"/>
      <c r="V5" s="1297" t="s">
        <v>451</v>
      </c>
      <c r="W5" s="1298"/>
      <c r="X5" s="1297" t="s">
        <v>452</v>
      </c>
      <c r="Y5" s="1298"/>
      <c r="Z5" s="1297" t="s">
        <v>453</v>
      </c>
      <c r="AA5" s="1298"/>
      <c r="AB5" s="1297" t="s">
        <v>454</v>
      </c>
      <c r="AC5" s="1298"/>
      <c r="AD5" s="1234" t="s">
        <v>745</v>
      </c>
      <c r="AE5" s="1299"/>
    </row>
    <row r="6" spans="2:39" ht="4.5" customHeight="1">
      <c r="C6" s="867"/>
      <c r="D6" s="868"/>
      <c r="E6" s="869"/>
      <c r="F6" s="868"/>
      <c r="G6" s="869"/>
      <c r="H6" s="868"/>
      <c r="I6" s="869"/>
      <c r="J6" s="868"/>
      <c r="K6" s="869"/>
      <c r="L6" s="868"/>
      <c r="M6" s="869"/>
      <c r="N6" s="868"/>
      <c r="O6" s="869"/>
      <c r="P6" s="868"/>
      <c r="Q6" s="869"/>
      <c r="R6" s="867"/>
      <c r="S6" s="869"/>
      <c r="T6" s="867"/>
      <c r="U6" s="869"/>
      <c r="V6" s="867"/>
      <c r="W6" s="869"/>
      <c r="X6" s="867"/>
      <c r="Y6" s="869"/>
      <c r="Z6" s="867"/>
      <c r="AA6" s="869"/>
      <c r="AB6" s="867"/>
      <c r="AC6" s="869"/>
      <c r="AD6" s="867"/>
      <c r="AE6" s="869"/>
    </row>
    <row r="7" spans="2:39" ht="21" customHeight="1">
      <c r="C7" s="870" t="s">
        <v>919</v>
      </c>
      <c r="D7" s="871">
        <v>132639</v>
      </c>
      <c r="E7" s="872">
        <v>0.42320565384554026</v>
      </c>
      <c r="F7" s="871">
        <v>142602</v>
      </c>
      <c r="G7" s="872">
        <v>0.42679236812570148</v>
      </c>
      <c r="H7" s="871">
        <v>152684</v>
      </c>
      <c r="I7" s="872">
        <v>0.43941255867362355</v>
      </c>
      <c r="J7" s="871">
        <v>157346</v>
      </c>
      <c r="K7" s="872">
        <v>0.44100451245830879</v>
      </c>
      <c r="L7" s="871">
        <v>162524</v>
      </c>
      <c r="M7" s="872">
        <v>0.43485264016909925</v>
      </c>
      <c r="N7" s="871">
        <v>166661</v>
      </c>
      <c r="O7" s="872">
        <v>0.42986770801360835</v>
      </c>
      <c r="P7" s="871">
        <v>170488</v>
      </c>
      <c r="Q7" s="872">
        <v>0.42987284449610563</v>
      </c>
      <c r="R7" s="871">
        <v>173971</v>
      </c>
      <c r="S7" s="872">
        <v>0.43402581137686458</v>
      </c>
      <c r="T7" s="871">
        <v>173567</v>
      </c>
      <c r="U7" s="872">
        <v>0.43934005462419917</v>
      </c>
      <c r="V7" s="871">
        <v>168884</v>
      </c>
      <c r="W7" s="872">
        <v>0.44333839978789141</v>
      </c>
      <c r="X7" s="871">
        <v>164520</v>
      </c>
      <c r="Y7" s="872">
        <v>0.44790260051400443</v>
      </c>
      <c r="Z7" s="871">
        <v>168821</v>
      </c>
      <c r="AA7" s="872">
        <v>0.46034265084026627</v>
      </c>
      <c r="AB7" s="871">
        <v>175177</v>
      </c>
      <c r="AC7" s="872">
        <v>0.46476279923696728</v>
      </c>
      <c r="AD7" s="871">
        <v>174000</v>
      </c>
      <c r="AE7" s="872">
        <v>0.46648543439445367</v>
      </c>
    </row>
    <row r="8" spans="2:39" ht="21" customHeight="1">
      <c r="C8" s="873" t="s">
        <v>920</v>
      </c>
      <c r="D8" s="874">
        <v>180776</v>
      </c>
      <c r="E8" s="875">
        <v>0.57679434615445979</v>
      </c>
      <c r="F8" s="874">
        <v>191523</v>
      </c>
      <c r="G8" s="875">
        <v>0.57320763187429857</v>
      </c>
      <c r="H8" s="874">
        <v>194789</v>
      </c>
      <c r="I8" s="875">
        <v>0.56058744132637639</v>
      </c>
      <c r="J8" s="874">
        <v>199444</v>
      </c>
      <c r="K8" s="875">
        <v>0.55899548754169115</v>
      </c>
      <c r="L8" s="874">
        <v>211221</v>
      </c>
      <c r="M8" s="875">
        <v>0.5651473598309007</v>
      </c>
      <c r="N8" s="874">
        <v>221042</v>
      </c>
      <c r="O8" s="875">
        <v>0.57013229198639159</v>
      </c>
      <c r="P8" s="874">
        <v>226113</v>
      </c>
      <c r="Q8" s="875">
        <v>0.57012715550389437</v>
      </c>
      <c r="R8" s="874">
        <v>226860</v>
      </c>
      <c r="S8" s="875">
        <v>0.56597418862313542</v>
      </c>
      <c r="T8" s="874">
        <v>221496</v>
      </c>
      <c r="U8" s="875">
        <v>0.56065994537580077</v>
      </c>
      <c r="V8" s="874">
        <v>212053</v>
      </c>
      <c r="W8" s="875">
        <v>0.55666160021210853</v>
      </c>
      <c r="X8" s="874">
        <v>202792</v>
      </c>
      <c r="Y8" s="875">
        <v>0.55209739948599557</v>
      </c>
      <c r="Z8" s="874">
        <v>197908</v>
      </c>
      <c r="AA8" s="875">
        <v>0.53965734915973373</v>
      </c>
      <c r="AB8" s="874">
        <v>201740</v>
      </c>
      <c r="AC8" s="875">
        <v>0.53523720076303272</v>
      </c>
      <c r="AD8" s="874">
        <v>199002</v>
      </c>
      <c r="AE8" s="875">
        <v>0.53351456560554633</v>
      </c>
    </row>
    <row r="9" spans="2:39" ht="21" customHeight="1">
      <c r="C9" s="876" t="s">
        <v>469</v>
      </c>
      <c r="D9" s="877">
        <v>313415</v>
      </c>
      <c r="E9" s="878">
        <v>1</v>
      </c>
      <c r="F9" s="877">
        <v>334125</v>
      </c>
      <c r="G9" s="878">
        <v>1</v>
      </c>
      <c r="H9" s="877">
        <v>347473</v>
      </c>
      <c r="I9" s="878">
        <v>1</v>
      </c>
      <c r="J9" s="877">
        <v>356790</v>
      </c>
      <c r="K9" s="878">
        <v>1</v>
      </c>
      <c r="L9" s="877">
        <v>373745</v>
      </c>
      <c r="M9" s="878">
        <v>1</v>
      </c>
      <c r="N9" s="877">
        <v>387703</v>
      </c>
      <c r="O9" s="878">
        <v>1</v>
      </c>
      <c r="P9" s="877">
        <v>396601</v>
      </c>
      <c r="Q9" s="878">
        <v>1</v>
      </c>
      <c r="R9" s="877">
        <v>400831</v>
      </c>
      <c r="S9" s="878">
        <v>1</v>
      </c>
      <c r="T9" s="877">
        <v>395063</v>
      </c>
      <c r="U9" s="878">
        <v>1</v>
      </c>
      <c r="V9" s="877">
        <v>380937</v>
      </c>
      <c r="W9" s="878">
        <v>1</v>
      </c>
      <c r="X9" s="877">
        <v>367312</v>
      </c>
      <c r="Y9" s="878">
        <v>1</v>
      </c>
      <c r="Z9" s="877">
        <v>366729</v>
      </c>
      <c r="AA9" s="878">
        <v>1</v>
      </c>
      <c r="AB9" s="877">
        <v>376917</v>
      </c>
      <c r="AC9" s="878">
        <v>1</v>
      </c>
      <c r="AD9" s="879">
        <v>373002</v>
      </c>
      <c r="AE9" s="880">
        <v>1</v>
      </c>
    </row>
    <row r="14" spans="2:39">
      <c r="C14" s="2" t="s">
        <v>916</v>
      </c>
    </row>
  </sheetData>
  <mergeCells count="15">
    <mergeCell ref="X5:Y5"/>
    <mergeCell ref="Z5:AA5"/>
    <mergeCell ref="AB5:AC5"/>
    <mergeCell ref="AD5:AE5"/>
    <mergeCell ref="C1:AM1"/>
    <mergeCell ref="N5:O5"/>
    <mergeCell ref="P5:Q5"/>
    <mergeCell ref="R5:S5"/>
    <mergeCell ref="T5:U5"/>
    <mergeCell ref="V5:W5"/>
    <mergeCell ref="D5:E5"/>
    <mergeCell ref="F5:G5"/>
    <mergeCell ref="H5:I5"/>
    <mergeCell ref="J5:K5"/>
    <mergeCell ref="L5:M5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B1:AM27"/>
  <sheetViews>
    <sheetView topLeftCell="U1" workbookViewId="0">
      <selection activeCell="P5" sqref="P5:R15"/>
    </sheetView>
  </sheetViews>
  <sheetFormatPr defaultRowHeight="15"/>
  <cols>
    <col min="1" max="1" width="2.28515625" customWidth="1"/>
    <col min="2" max="2" width="5.7109375" customWidth="1"/>
    <col min="3" max="3" width="21.140625" customWidth="1"/>
    <col min="4" max="4" width="2.5703125" customWidth="1"/>
    <col min="5" max="18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166</v>
      </c>
    </row>
    <row r="5" spans="2:39" ht="25.5" customHeight="1">
      <c r="C5" s="1302" t="s">
        <v>893</v>
      </c>
      <c r="D5" s="1303"/>
      <c r="E5" s="786" t="s">
        <v>680</v>
      </c>
      <c r="F5" s="787" t="s">
        <v>714</v>
      </c>
      <c r="G5" s="787" t="s">
        <v>715</v>
      </c>
      <c r="H5" s="787" t="s">
        <v>716</v>
      </c>
      <c r="I5" s="787" t="s">
        <v>446</v>
      </c>
      <c r="J5" s="787" t="s">
        <v>447</v>
      </c>
      <c r="K5" s="787" t="s">
        <v>448</v>
      </c>
      <c r="L5" s="787" t="s">
        <v>449</v>
      </c>
      <c r="M5" s="787" t="s">
        <v>450</v>
      </c>
      <c r="N5" s="787" t="s">
        <v>451</v>
      </c>
      <c r="O5" s="787" t="s">
        <v>452</v>
      </c>
      <c r="P5" s="787" t="s">
        <v>453</v>
      </c>
      <c r="Q5" s="788" t="s">
        <v>454</v>
      </c>
      <c r="R5" s="788" t="s">
        <v>745</v>
      </c>
    </row>
    <row r="6" spans="2:39" ht="4.5" customHeight="1">
      <c r="C6" s="829"/>
      <c r="D6" s="829"/>
      <c r="E6" s="830"/>
      <c r="F6" s="830"/>
      <c r="G6" s="830"/>
      <c r="H6" s="830"/>
      <c r="I6" s="830"/>
      <c r="J6" s="830"/>
      <c r="K6" s="830"/>
      <c r="L6" s="790"/>
      <c r="M6" s="790"/>
      <c r="N6" s="790"/>
      <c r="O6" s="790"/>
      <c r="P6" s="790"/>
      <c r="Q6" s="790"/>
      <c r="R6" s="790"/>
    </row>
    <row r="7" spans="2:39" ht="17.25" customHeight="1">
      <c r="C7" s="1304" t="s">
        <v>894</v>
      </c>
      <c r="D7" s="1305"/>
      <c r="E7" s="831">
        <f t="shared" ref="E7:N7" si="0">E8+E9</f>
        <v>198774</v>
      </c>
      <c r="F7" s="831">
        <f t="shared" si="0"/>
        <v>212726</v>
      </c>
      <c r="G7" s="831">
        <f t="shared" si="0"/>
        <v>226642</v>
      </c>
      <c r="H7" s="831">
        <f t="shared" si="0"/>
        <v>238857</v>
      </c>
      <c r="I7" s="831">
        <f t="shared" si="0"/>
        <v>255008</v>
      </c>
      <c r="J7" s="831">
        <f t="shared" si="0"/>
        <v>273530</v>
      </c>
      <c r="K7" s="831">
        <f t="shared" si="0"/>
        <v>284789</v>
      </c>
      <c r="L7" s="831">
        <f t="shared" si="0"/>
        <v>290532</v>
      </c>
      <c r="M7" s="831">
        <f t="shared" si="0"/>
        <v>288309</v>
      </c>
      <c r="N7" s="831">
        <f t="shared" si="0"/>
        <v>282273</v>
      </c>
      <c r="O7" s="831">
        <f>O8+O9</f>
        <v>275521</v>
      </c>
      <c r="P7" s="831">
        <f>P8+P9</f>
        <v>275321</v>
      </c>
      <c r="Q7" s="831">
        <f>Q8+Q9</f>
        <v>284333</v>
      </c>
      <c r="R7" s="832">
        <f>R8+R9</f>
        <v>282438</v>
      </c>
    </row>
    <row r="8" spans="2:39" ht="17.25" customHeight="1">
      <c r="C8" s="833" t="s">
        <v>895</v>
      </c>
      <c r="D8" s="834" t="s">
        <v>896</v>
      </c>
      <c r="E8" s="835">
        <v>139101</v>
      </c>
      <c r="F8" s="835">
        <v>147349</v>
      </c>
      <c r="G8" s="835">
        <v>153951</v>
      </c>
      <c r="H8" s="835">
        <v>158850</v>
      </c>
      <c r="I8" s="835">
        <v>164722</v>
      </c>
      <c r="J8" s="835">
        <v>171735</v>
      </c>
      <c r="K8" s="835">
        <v>176303</v>
      </c>
      <c r="L8" s="835">
        <v>178000</v>
      </c>
      <c r="M8" s="835">
        <v>176827</v>
      </c>
      <c r="N8" s="835">
        <v>173897</v>
      </c>
      <c r="O8" s="835">
        <v>171575</v>
      </c>
      <c r="P8" s="835">
        <v>169449</v>
      </c>
      <c r="Q8" s="835">
        <v>175998</v>
      </c>
      <c r="R8" s="835">
        <v>175465</v>
      </c>
    </row>
    <row r="9" spans="2:39" ht="17.25" customHeight="1">
      <c r="C9" s="836" t="s">
        <v>897</v>
      </c>
      <c r="D9" s="837" t="s">
        <v>898</v>
      </c>
      <c r="E9" s="838">
        <v>59673</v>
      </c>
      <c r="F9" s="838">
        <v>65377</v>
      </c>
      <c r="G9" s="838">
        <v>72691</v>
      </c>
      <c r="H9" s="838">
        <v>80007</v>
      </c>
      <c r="I9" s="838">
        <v>90286</v>
      </c>
      <c r="J9" s="838">
        <v>101795</v>
      </c>
      <c r="K9" s="838">
        <v>108486</v>
      </c>
      <c r="L9" s="838">
        <v>112532</v>
      </c>
      <c r="M9" s="838">
        <v>111482</v>
      </c>
      <c r="N9" s="838">
        <v>108376</v>
      </c>
      <c r="O9" s="838">
        <v>103946</v>
      </c>
      <c r="P9" s="838">
        <v>105872</v>
      </c>
      <c r="Q9" s="838">
        <v>108335</v>
      </c>
      <c r="R9" s="838">
        <v>106973</v>
      </c>
    </row>
    <row r="10" spans="2:39" ht="4.5" customHeight="1">
      <c r="C10" s="839"/>
      <c r="D10" s="840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  <c r="R10" s="841"/>
    </row>
    <row r="11" spans="2:39" ht="17.25" customHeight="1">
      <c r="C11" s="1304" t="s">
        <v>899</v>
      </c>
      <c r="D11" s="1306"/>
      <c r="E11" s="831">
        <f t="shared" ref="E11:N11" si="1">E12+E13</f>
        <v>114641</v>
      </c>
      <c r="F11" s="831">
        <f t="shared" si="1"/>
        <v>121399</v>
      </c>
      <c r="G11" s="831">
        <f t="shared" si="1"/>
        <v>120831</v>
      </c>
      <c r="H11" s="831">
        <f t="shared" si="1"/>
        <v>117933</v>
      </c>
      <c r="I11" s="831">
        <f t="shared" si="1"/>
        <v>118737</v>
      </c>
      <c r="J11" s="831">
        <f t="shared" si="1"/>
        <v>114173</v>
      </c>
      <c r="K11" s="831">
        <f t="shared" si="1"/>
        <v>111812</v>
      </c>
      <c r="L11" s="831">
        <f t="shared" si="1"/>
        <v>110299</v>
      </c>
      <c r="M11" s="831">
        <f t="shared" si="1"/>
        <v>106754</v>
      </c>
      <c r="N11" s="831">
        <f t="shared" si="1"/>
        <v>98664</v>
      </c>
      <c r="O11" s="831">
        <f>O12+O13</f>
        <v>91791</v>
      </c>
      <c r="P11" s="831">
        <f>P12+P13</f>
        <v>91408</v>
      </c>
      <c r="Q11" s="831">
        <f>Q12+Q13</f>
        <v>92584</v>
      </c>
      <c r="R11" s="832">
        <f>R12+R13</f>
        <v>90564</v>
      </c>
    </row>
    <row r="12" spans="2:39" ht="17.25" customHeight="1">
      <c r="C12" s="833" t="s">
        <v>895</v>
      </c>
      <c r="D12" s="834" t="s">
        <v>896</v>
      </c>
      <c r="E12" s="835">
        <v>91540</v>
      </c>
      <c r="F12" s="835">
        <v>96163</v>
      </c>
      <c r="G12" s="835">
        <v>93914</v>
      </c>
      <c r="H12" s="835">
        <v>89361</v>
      </c>
      <c r="I12" s="835">
        <v>88190</v>
      </c>
      <c r="J12" s="835">
        <v>82979</v>
      </c>
      <c r="K12" s="835">
        <v>79908</v>
      </c>
      <c r="L12" s="835">
        <v>77109</v>
      </c>
      <c r="M12" s="835">
        <v>73708</v>
      </c>
      <c r="N12" s="835">
        <v>67157</v>
      </c>
      <c r="O12" s="835">
        <v>61740</v>
      </c>
      <c r="P12" s="835">
        <v>60659</v>
      </c>
      <c r="Q12" s="835">
        <v>61221</v>
      </c>
      <c r="R12" s="835">
        <v>60755</v>
      </c>
    </row>
    <row r="13" spans="2:39" ht="17.25" customHeight="1">
      <c r="C13" s="836" t="s">
        <v>897</v>
      </c>
      <c r="D13" s="837" t="s">
        <v>898</v>
      </c>
      <c r="E13" s="838">
        <v>23101</v>
      </c>
      <c r="F13" s="838">
        <v>25236</v>
      </c>
      <c r="G13" s="838">
        <v>26917</v>
      </c>
      <c r="H13" s="838">
        <v>28572</v>
      </c>
      <c r="I13" s="838">
        <v>30547</v>
      </c>
      <c r="J13" s="838">
        <v>31194</v>
      </c>
      <c r="K13" s="838">
        <v>31904</v>
      </c>
      <c r="L13" s="838">
        <v>33190</v>
      </c>
      <c r="M13" s="838">
        <v>33046</v>
      </c>
      <c r="N13" s="838">
        <v>31507</v>
      </c>
      <c r="O13" s="838">
        <v>30051</v>
      </c>
      <c r="P13" s="838">
        <v>30749</v>
      </c>
      <c r="Q13" s="838">
        <v>31363</v>
      </c>
      <c r="R13" s="838">
        <v>29809</v>
      </c>
    </row>
    <row r="14" spans="2:39" ht="6" customHeight="1">
      <c r="C14" s="839"/>
      <c r="D14" s="840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</row>
    <row r="15" spans="2:39" ht="18" customHeight="1">
      <c r="C15" s="1307" t="s">
        <v>732</v>
      </c>
      <c r="D15" s="1308"/>
      <c r="E15" s="883">
        <v>313415</v>
      </c>
      <c r="F15" s="884">
        <v>334125</v>
      </c>
      <c r="G15" s="884">
        <v>347473</v>
      </c>
      <c r="H15" s="884">
        <v>356790</v>
      </c>
      <c r="I15" s="884">
        <v>373745</v>
      </c>
      <c r="J15" s="884">
        <v>387703</v>
      </c>
      <c r="K15" s="884">
        <v>396601</v>
      </c>
      <c r="L15" s="884">
        <v>400831</v>
      </c>
      <c r="M15" s="884">
        <v>395063</v>
      </c>
      <c r="N15" s="884">
        <v>380937</v>
      </c>
      <c r="O15" s="884">
        <v>367312</v>
      </c>
      <c r="P15" s="884">
        <v>366729</v>
      </c>
      <c r="Q15" s="884">
        <v>376917</v>
      </c>
      <c r="R15" s="885">
        <v>373002</v>
      </c>
    </row>
    <row r="17" spans="3:18">
      <c r="E17" s="886"/>
    </row>
    <row r="19" spans="3:18">
      <c r="C19" s="107" t="s">
        <v>428</v>
      </c>
    </row>
    <row r="20" spans="3:18" s="453" customFormat="1">
      <c r="C20" s="845" t="s">
        <v>923</v>
      </c>
    </row>
    <row r="21" spans="3:18" s="453" customFormat="1">
      <c r="C21" s="845" t="s">
        <v>924</v>
      </c>
    </row>
    <row r="22" spans="3:18" s="453" customFormat="1">
      <c r="C22" s="107"/>
    </row>
    <row r="23" spans="3:18">
      <c r="C23" s="1301" t="s">
        <v>921</v>
      </c>
      <c r="D23" s="1301"/>
      <c r="E23" s="1301"/>
      <c r="F23" s="1301"/>
      <c r="G23" s="1301"/>
      <c r="H23" s="1301"/>
      <c r="I23" s="1301"/>
      <c r="J23" s="1301"/>
      <c r="K23" s="1301"/>
      <c r="L23" s="1301"/>
      <c r="M23" s="1301"/>
      <c r="N23" s="1301"/>
      <c r="O23" s="1301"/>
      <c r="P23" s="1301"/>
      <c r="Q23" s="1301"/>
      <c r="R23" s="1301"/>
    </row>
    <row r="24" spans="3:18">
      <c r="C24" s="1301" t="s">
        <v>922</v>
      </c>
      <c r="D24" s="1301"/>
      <c r="E24" s="1301"/>
      <c r="F24" s="1301"/>
      <c r="G24" s="1301"/>
      <c r="H24" s="1301"/>
      <c r="I24" s="1301"/>
      <c r="J24" s="1301"/>
      <c r="K24" s="1301"/>
      <c r="L24" s="1301"/>
      <c r="M24" s="1301"/>
      <c r="N24" s="1301"/>
      <c r="O24" s="1301"/>
      <c r="P24" s="1301"/>
      <c r="Q24" s="1301"/>
      <c r="R24" s="1301"/>
    </row>
    <row r="27" spans="3:18">
      <c r="C27" s="2" t="s">
        <v>884</v>
      </c>
    </row>
  </sheetData>
  <mergeCells count="7">
    <mergeCell ref="C1:AM1"/>
    <mergeCell ref="C23:R23"/>
    <mergeCell ref="C24:R24"/>
    <mergeCell ref="C5:D5"/>
    <mergeCell ref="C7:D7"/>
    <mergeCell ref="C11:D11"/>
    <mergeCell ref="C15:D1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B1:AM19"/>
  <sheetViews>
    <sheetView topLeftCell="U1" workbookViewId="0">
      <selection activeCell="H29" sqref="H29"/>
    </sheetView>
  </sheetViews>
  <sheetFormatPr defaultRowHeight="15"/>
  <cols>
    <col min="1" max="1" width="2.28515625" customWidth="1"/>
    <col min="2" max="2" width="5.7109375" customWidth="1"/>
    <col min="3" max="3" width="10.85546875" customWidth="1"/>
    <col min="4" max="4" width="13.7109375" customWidth="1"/>
    <col min="5" max="18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321</v>
      </c>
    </row>
    <row r="5" spans="2:39" ht="24" customHeight="1">
      <c r="C5" s="1309" t="s">
        <v>470</v>
      </c>
      <c r="D5" s="1310"/>
      <c r="E5" s="786" t="s">
        <v>680</v>
      </c>
      <c r="F5" s="787" t="s">
        <v>714</v>
      </c>
      <c r="G5" s="787" t="s">
        <v>715</v>
      </c>
      <c r="H5" s="787" t="s">
        <v>716</v>
      </c>
      <c r="I5" s="787" t="s">
        <v>446</v>
      </c>
      <c r="J5" s="787" t="s">
        <v>447</v>
      </c>
      <c r="K5" s="787" t="s">
        <v>448</v>
      </c>
      <c r="L5" s="787" t="s">
        <v>449</v>
      </c>
      <c r="M5" s="787" t="s">
        <v>450</v>
      </c>
      <c r="N5" s="787" t="s">
        <v>451</v>
      </c>
      <c r="O5" s="787" t="s">
        <v>452</v>
      </c>
      <c r="P5" s="787" t="s">
        <v>453</v>
      </c>
      <c r="Q5" s="787" t="s">
        <v>454</v>
      </c>
      <c r="R5" s="788" t="s">
        <v>745</v>
      </c>
    </row>
    <row r="6" spans="2:39" ht="4.5" customHeight="1">
      <c r="C6" s="789"/>
      <c r="D6" s="789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</row>
    <row r="7" spans="2:39" ht="16.5" customHeight="1">
      <c r="C7" s="1234" t="s">
        <v>471</v>
      </c>
      <c r="D7" s="791" t="s">
        <v>882</v>
      </c>
      <c r="E7" s="797">
        <v>139101</v>
      </c>
      <c r="F7" s="797">
        <v>147349</v>
      </c>
      <c r="G7" s="797">
        <v>153951</v>
      </c>
      <c r="H7" s="797">
        <v>158850</v>
      </c>
      <c r="I7" s="797">
        <v>164722</v>
      </c>
      <c r="J7" s="797">
        <v>171735</v>
      </c>
      <c r="K7" s="797">
        <v>176303</v>
      </c>
      <c r="L7" s="797">
        <v>178000</v>
      </c>
      <c r="M7" s="797">
        <v>176827</v>
      </c>
      <c r="N7" s="797">
        <v>173897</v>
      </c>
      <c r="O7" s="797">
        <v>171575</v>
      </c>
      <c r="P7" s="797">
        <v>169449</v>
      </c>
      <c r="Q7" s="797">
        <v>175998</v>
      </c>
      <c r="R7" s="797">
        <v>175465</v>
      </c>
    </row>
    <row r="8" spans="2:39" ht="16.5" customHeight="1">
      <c r="C8" s="1234"/>
      <c r="D8" s="792" t="s">
        <v>883</v>
      </c>
      <c r="E8" s="798">
        <v>59673</v>
      </c>
      <c r="F8" s="798">
        <v>65377</v>
      </c>
      <c r="G8" s="798">
        <v>72691</v>
      </c>
      <c r="H8" s="798">
        <v>80007</v>
      </c>
      <c r="I8" s="798">
        <v>90286</v>
      </c>
      <c r="J8" s="798">
        <v>101795</v>
      </c>
      <c r="K8" s="798">
        <v>108486</v>
      </c>
      <c r="L8" s="798">
        <v>112532</v>
      </c>
      <c r="M8" s="798">
        <v>111482</v>
      </c>
      <c r="N8" s="798">
        <v>108376</v>
      </c>
      <c r="O8" s="798">
        <v>103946</v>
      </c>
      <c r="P8" s="798">
        <v>105872</v>
      </c>
      <c r="Q8" s="798">
        <v>108335</v>
      </c>
      <c r="R8" s="798">
        <v>106973</v>
      </c>
    </row>
    <row r="9" spans="2:39" ht="16.5" customHeight="1">
      <c r="C9" s="1311"/>
      <c r="D9" s="793" t="s">
        <v>469</v>
      </c>
      <c r="E9" s="799">
        <v>198774</v>
      </c>
      <c r="F9" s="799">
        <v>212726</v>
      </c>
      <c r="G9" s="799">
        <v>226642</v>
      </c>
      <c r="H9" s="799">
        <v>238857</v>
      </c>
      <c r="I9" s="799">
        <v>255008</v>
      </c>
      <c r="J9" s="799">
        <v>273530</v>
      </c>
      <c r="K9" s="799">
        <v>284789</v>
      </c>
      <c r="L9" s="799">
        <v>290532</v>
      </c>
      <c r="M9" s="799">
        <v>288309</v>
      </c>
      <c r="N9" s="799">
        <v>282273</v>
      </c>
      <c r="O9" s="799">
        <v>275521</v>
      </c>
      <c r="P9" s="799">
        <v>275321</v>
      </c>
      <c r="Q9" s="799">
        <v>284333</v>
      </c>
      <c r="R9" s="800">
        <v>282438</v>
      </c>
    </row>
    <row r="10" spans="2:39" ht="4.5" customHeight="1">
      <c r="C10" s="794"/>
      <c r="D10" s="794"/>
      <c r="E10" s="801"/>
      <c r="F10" s="801"/>
      <c r="G10" s="801"/>
      <c r="H10" s="801"/>
      <c r="I10" s="801"/>
      <c r="J10" s="801"/>
      <c r="K10" s="801"/>
      <c r="L10" s="801"/>
      <c r="M10" s="801"/>
      <c r="N10" s="801"/>
      <c r="O10" s="801"/>
      <c r="P10" s="801"/>
      <c r="Q10" s="801"/>
      <c r="R10" s="801"/>
    </row>
    <row r="11" spans="2:39" ht="16.5" customHeight="1">
      <c r="C11" s="1234" t="s">
        <v>472</v>
      </c>
      <c r="D11" s="791" t="s">
        <v>882</v>
      </c>
      <c r="E11" s="797">
        <v>91540</v>
      </c>
      <c r="F11" s="797">
        <v>96163</v>
      </c>
      <c r="G11" s="797">
        <v>93914</v>
      </c>
      <c r="H11" s="797">
        <v>89361</v>
      </c>
      <c r="I11" s="797">
        <v>88190</v>
      </c>
      <c r="J11" s="797">
        <v>82979</v>
      </c>
      <c r="K11" s="797">
        <v>79908</v>
      </c>
      <c r="L11" s="797">
        <v>77109</v>
      </c>
      <c r="M11" s="797">
        <v>73708</v>
      </c>
      <c r="N11" s="797">
        <v>67157</v>
      </c>
      <c r="O11" s="797">
        <v>61740</v>
      </c>
      <c r="P11" s="797">
        <v>60659</v>
      </c>
      <c r="Q11" s="797">
        <v>61221</v>
      </c>
      <c r="R11" s="797">
        <v>60755</v>
      </c>
    </row>
    <row r="12" spans="2:39" ht="16.5" customHeight="1">
      <c r="C12" s="1234"/>
      <c r="D12" s="792" t="s">
        <v>883</v>
      </c>
      <c r="E12" s="798">
        <v>23101</v>
      </c>
      <c r="F12" s="798">
        <v>25236</v>
      </c>
      <c r="G12" s="798">
        <v>26917</v>
      </c>
      <c r="H12" s="798">
        <v>28572</v>
      </c>
      <c r="I12" s="798">
        <v>30547</v>
      </c>
      <c r="J12" s="798">
        <v>31194</v>
      </c>
      <c r="K12" s="798">
        <v>31904</v>
      </c>
      <c r="L12" s="798">
        <v>33190</v>
      </c>
      <c r="M12" s="798">
        <v>33046</v>
      </c>
      <c r="N12" s="798">
        <v>31507</v>
      </c>
      <c r="O12" s="798">
        <v>30051</v>
      </c>
      <c r="P12" s="798">
        <v>30749</v>
      </c>
      <c r="Q12" s="798">
        <v>31363</v>
      </c>
      <c r="R12" s="798">
        <v>29809</v>
      </c>
    </row>
    <row r="13" spans="2:39" ht="16.5" customHeight="1">
      <c r="C13" s="1311"/>
      <c r="D13" s="793" t="s">
        <v>469</v>
      </c>
      <c r="E13" s="799">
        <v>114641</v>
      </c>
      <c r="F13" s="799">
        <v>121399</v>
      </c>
      <c r="G13" s="799">
        <v>120831</v>
      </c>
      <c r="H13" s="799">
        <v>117933</v>
      </c>
      <c r="I13" s="799">
        <v>118737</v>
      </c>
      <c r="J13" s="799">
        <v>114173</v>
      </c>
      <c r="K13" s="799">
        <v>111812</v>
      </c>
      <c r="L13" s="799">
        <v>110299</v>
      </c>
      <c r="M13" s="799">
        <v>106754</v>
      </c>
      <c r="N13" s="799">
        <v>98664</v>
      </c>
      <c r="O13" s="799">
        <v>91791</v>
      </c>
      <c r="P13" s="799">
        <v>91408</v>
      </c>
      <c r="Q13" s="799">
        <v>92584</v>
      </c>
      <c r="R13" s="800">
        <v>90564</v>
      </c>
    </row>
    <row r="14" spans="2:39" ht="4.5" customHeight="1">
      <c r="C14" s="795"/>
      <c r="D14" s="796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</row>
    <row r="15" spans="2:39" ht="16.5" customHeight="1">
      <c r="C15" s="1312" t="s">
        <v>732</v>
      </c>
      <c r="D15" s="1313"/>
      <c r="E15" s="803">
        <v>313415</v>
      </c>
      <c r="F15" s="803">
        <v>334125</v>
      </c>
      <c r="G15" s="803">
        <v>347473</v>
      </c>
      <c r="H15" s="803">
        <v>356790</v>
      </c>
      <c r="I15" s="803">
        <v>373745</v>
      </c>
      <c r="J15" s="803">
        <v>387703</v>
      </c>
      <c r="K15" s="803">
        <v>396601</v>
      </c>
      <c r="L15" s="803">
        <v>400831</v>
      </c>
      <c r="M15" s="803">
        <v>395063</v>
      </c>
      <c r="N15" s="803">
        <v>380937</v>
      </c>
      <c r="O15" s="803">
        <v>367312</v>
      </c>
      <c r="P15" s="803">
        <v>366729</v>
      </c>
      <c r="Q15" s="803">
        <v>376917</v>
      </c>
      <c r="R15" s="804">
        <v>373002</v>
      </c>
    </row>
    <row r="19" spans="3:3">
      <c r="C19" s="2" t="s">
        <v>884</v>
      </c>
    </row>
  </sheetData>
  <mergeCells count="5">
    <mergeCell ref="C5:D5"/>
    <mergeCell ref="C7:C9"/>
    <mergeCell ref="C11:C13"/>
    <mergeCell ref="C15:D15"/>
    <mergeCell ref="C1:AM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1:AM20"/>
  <sheetViews>
    <sheetView topLeftCell="W1" workbookViewId="0">
      <selection activeCell="L33" sqref="L33"/>
    </sheetView>
  </sheetViews>
  <sheetFormatPr defaultRowHeight="15"/>
  <cols>
    <col min="1" max="1" width="2.28515625" customWidth="1"/>
    <col min="2" max="2" width="5.7109375" customWidth="1"/>
    <col min="3" max="3" width="10.85546875" customWidth="1"/>
    <col min="4" max="4" width="13.7109375" customWidth="1"/>
    <col min="5" max="22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322</v>
      </c>
    </row>
    <row r="5" spans="2:39" ht="20.25" customHeight="1">
      <c r="C5" s="1309" t="s">
        <v>470</v>
      </c>
      <c r="D5" s="1255"/>
      <c r="E5" s="1314" t="s">
        <v>447</v>
      </c>
      <c r="F5" s="1314"/>
      <c r="G5" s="1314" t="s">
        <v>448</v>
      </c>
      <c r="H5" s="1314"/>
      <c r="I5" s="1314" t="s">
        <v>449</v>
      </c>
      <c r="J5" s="1314"/>
      <c r="K5" s="1314" t="s">
        <v>450</v>
      </c>
      <c r="L5" s="1314"/>
      <c r="M5" s="1314" t="s">
        <v>451</v>
      </c>
      <c r="N5" s="1314"/>
      <c r="O5" s="1314" t="s">
        <v>452</v>
      </c>
      <c r="P5" s="1314"/>
      <c r="Q5" s="1314" t="s">
        <v>453</v>
      </c>
      <c r="R5" s="1314"/>
      <c r="S5" s="1314" t="s">
        <v>454</v>
      </c>
      <c r="T5" s="1314"/>
      <c r="U5" s="1314" t="s">
        <v>745</v>
      </c>
      <c r="V5" s="1315"/>
    </row>
    <row r="6" spans="2:39" ht="16.5" customHeight="1">
      <c r="C6" s="1087"/>
      <c r="D6" s="1255"/>
      <c r="E6" s="805" t="s">
        <v>535</v>
      </c>
      <c r="F6" s="805" t="s">
        <v>536</v>
      </c>
      <c r="G6" s="805" t="s">
        <v>535</v>
      </c>
      <c r="H6" s="805" t="s">
        <v>536</v>
      </c>
      <c r="I6" s="805" t="s">
        <v>535</v>
      </c>
      <c r="J6" s="805" t="s">
        <v>536</v>
      </c>
      <c r="K6" s="805" t="s">
        <v>535</v>
      </c>
      <c r="L6" s="805" t="s">
        <v>536</v>
      </c>
      <c r="M6" s="805" t="s">
        <v>535</v>
      </c>
      <c r="N6" s="805" t="s">
        <v>536</v>
      </c>
      <c r="O6" s="805" t="s">
        <v>535</v>
      </c>
      <c r="P6" s="805" t="s">
        <v>536</v>
      </c>
      <c r="Q6" s="805" t="s">
        <v>535</v>
      </c>
      <c r="R6" s="805" t="s">
        <v>536</v>
      </c>
      <c r="S6" s="805" t="s">
        <v>535</v>
      </c>
      <c r="T6" s="805" t="s">
        <v>536</v>
      </c>
      <c r="U6" s="805" t="s">
        <v>535</v>
      </c>
      <c r="V6" s="806" t="s">
        <v>536</v>
      </c>
    </row>
    <row r="7" spans="2:39" ht="4.5" customHeight="1">
      <c r="C7" s="789"/>
      <c r="D7" s="789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</row>
    <row r="8" spans="2:39" ht="16.5" customHeight="1">
      <c r="C8" s="1234" t="s">
        <v>471</v>
      </c>
      <c r="D8" s="807" t="s">
        <v>882</v>
      </c>
      <c r="E8" s="808">
        <v>77042</v>
      </c>
      <c r="F8" s="808">
        <v>94693</v>
      </c>
      <c r="G8" s="808">
        <v>79699</v>
      </c>
      <c r="H8" s="808">
        <v>96604</v>
      </c>
      <c r="I8" s="808">
        <v>81311</v>
      </c>
      <c r="J8" s="808">
        <v>96689</v>
      </c>
      <c r="K8" s="808">
        <v>81765</v>
      </c>
      <c r="L8" s="808">
        <v>95062</v>
      </c>
      <c r="M8" s="808">
        <v>81438</v>
      </c>
      <c r="N8" s="808">
        <v>92459</v>
      </c>
      <c r="O8" s="808">
        <v>82094</v>
      </c>
      <c r="P8" s="808">
        <v>89481</v>
      </c>
      <c r="Q8" s="808">
        <v>82755</v>
      </c>
      <c r="R8" s="808">
        <v>86694</v>
      </c>
      <c r="S8" s="808">
        <v>86412</v>
      </c>
      <c r="T8" s="808">
        <v>89586</v>
      </c>
      <c r="U8" s="808">
        <v>85778</v>
      </c>
      <c r="V8" s="808">
        <v>89687</v>
      </c>
    </row>
    <row r="9" spans="2:39" ht="16.5" customHeight="1">
      <c r="C9" s="1234"/>
      <c r="D9" s="809" t="s">
        <v>883</v>
      </c>
      <c r="E9" s="810">
        <v>45622</v>
      </c>
      <c r="F9" s="810">
        <v>56173</v>
      </c>
      <c r="G9" s="810">
        <v>48624</v>
      </c>
      <c r="H9" s="810">
        <v>59862</v>
      </c>
      <c r="I9" s="810">
        <v>50936</v>
      </c>
      <c r="J9" s="810">
        <v>61596</v>
      </c>
      <c r="K9" s="810">
        <v>50768</v>
      </c>
      <c r="L9" s="810">
        <v>60714</v>
      </c>
      <c r="M9" s="810">
        <v>49181</v>
      </c>
      <c r="N9" s="810">
        <v>59195</v>
      </c>
      <c r="O9" s="810">
        <v>46779</v>
      </c>
      <c r="P9" s="810">
        <v>57167</v>
      </c>
      <c r="Q9" s="810">
        <v>48664</v>
      </c>
      <c r="R9" s="810">
        <v>57208</v>
      </c>
      <c r="S9" s="810">
        <v>50687</v>
      </c>
      <c r="T9" s="810">
        <v>57648</v>
      </c>
      <c r="U9" s="810">
        <v>50224</v>
      </c>
      <c r="V9" s="810">
        <v>56749</v>
      </c>
    </row>
    <row r="10" spans="2:39" ht="16.5" customHeight="1">
      <c r="C10" s="1311"/>
      <c r="D10" s="811" t="s">
        <v>469</v>
      </c>
      <c r="E10" s="812">
        <v>122664</v>
      </c>
      <c r="F10" s="812">
        <v>150866</v>
      </c>
      <c r="G10" s="812">
        <v>128323</v>
      </c>
      <c r="H10" s="812">
        <v>156466</v>
      </c>
      <c r="I10" s="812">
        <v>132247</v>
      </c>
      <c r="J10" s="812">
        <v>158285</v>
      </c>
      <c r="K10" s="812">
        <v>132533</v>
      </c>
      <c r="L10" s="812">
        <v>155776</v>
      </c>
      <c r="M10" s="812">
        <v>130619</v>
      </c>
      <c r="N10" s="812">
        <v>151654</v>
      </c>
      <c r="O10" s="812">
        <v>128873</v>
      </c>
      <c r="P10" s="812">
        <v>146648</v>
      </c>
      <c r="Q10" s="812">
        <v>131419</v>
      </c>
      <c r="R10" s="812">
        <v>143902</v>
      </c>
      <c r="S10" s="812">
        <v>137099</v>
      </c>
      <c r="T10" s="812">
        <v>147234</v>
      </c>
      <c r="U10" s="812">
        <v>136002</v>
      </c>
      <c r="V10" s="812">
        <v>146436</v>
      </c>
    </row>
    <row r="11" spans="2:39" ht="4.5" customHeight="1">
      <c r="C11" s="794"/>
      <c r="D11" s="794"/>
      <c r="E11" s="813"/>
      <c r="F11" s="813"/>
      <c r="G11" s="813"/>
      <c r="H11" s="813"/>
      <c r="I11" s="813"/>
      <c r="J11" s="813"/>
      <c r="K11" s="813"/>
      <c r="L11" s="813"/>
      <c r="M11" s="813"/>
      <c r="N11" s="813"/>
      <c r="O11" s="813"/>
      <c r="P11" s="813"/>
      <c r="Q11" s="813"/>
      <c r="R11" s="813"/>
      <c r="S11" s="813"/>
      <c r="T11" s="813"/>
      <c r="U11" s="813"/>
      <c r="V11" s="813"/>
    </row>
    <row r="12" spans="2:39" ht="16.5" customHeight="1">
      <c r="C12" s="1234" t="s">
        <v>472</v>
      </c>
      <c r="D12" s="807" t="s">
        <v>882</v>
      </c>
      <c r="E12" s="808">
        <v>34733</v>
      </c>
      <c r="F12" s="808">
        <v>48246</v>
      </c>
      <c r="G12" s="808">
        <v>32900</v>
      </c>
      <c r="H12" s="808">
        <v>47008</v>
      </c>
      <c r="I12" s="808">
        <v>32176</v>
      </c>
      <c r="J12" s="808">
        <v>44933</v>
      </c>
      <c r="K12" s="808">
        <v>31367</v>
      </c>
      <c r="L12" s="808">
        <v>42341</v>
      </c>
      <c r="M12" s="808">
        <v>28800</v>
      </c>
      <c r="N12" s="808">
        <v>38357</v>
      </c>
      <c r="O12" s="808">
        <v>26769</v>
      </c>
      <c r="P12" s="808">
        <v>34971</v>
      </c>
      <c r="Q12" s="808">
        <v>27612</v>
      </c>
      <c r="R12" s="808">
        <v>33047</v>
      </c>
      <c r="S12" s="808">
        <v>27889</v>
      </c>
      <c r="T12" s="808">
        <v>33332</v>
      </c>
      <c r="U12" s="808">
        <v>28181</v>
      </c>
      <c r="V12" s="808">
        <v>32574</v>
      </c>
    </row>
    <row r="13" spans="2:39" ht="16.5" customHeight="1">
      <c r="C13" s="1234"/>
      <c r="D13" s="809" t="s">
        <v>883</v>
      </c>
      <c r="E13" s="810">
        <v>9264</v>
      </c>
      <c r="F13" s="810">
        <v>21930</v>
      </c>
      <c r="G13" s="810">
        <v>9265</v>
      </c>
      <c r="H13" s="810">
        <v>22639</v>
      </c>
      <c r="I13" s="810">
        <v>9548</v>
      </c>
      <c r="J13" s="810">
        <v>23642</v>
      </c>
      <c r="K13" s="810">
        <v>9667</v>
      </c>
      <c r="L13" s="810">
        <v>23379</v>
      </c>
      <c r="M13" s="810">
        <v>9465</v>
      </c>
      <c r="N13" s="810">
        <v>22042</v>
      </c>
      <c r="O13" s="810">
        <v>8878</v>
      </c>
      <c r="P13" s="810">
        <v>21173</v>
      </c>
      <c r="Q13" s="810">
        <v>9790</v>
      </c>
      <c r="R13" s="810">
        <v>20959</v>
      </c>
      <c r="S13" s="810">
        <v>10189</v>
      </c>
      <c r="T13" s="810">
        <v>21174</v>
      </c>
      <c r="U13" s="810">
        <v>9817</v>
      </c>
      <c r="V13" s="810">
        <v>19992</v>
      </c>
    </row>
    <row r="14" spans="2:39" ht="16.5" customHeight="1">
      <c r="C14" s="1311"/>
      <c r="D14" s="793" t="s">
        <v>469</v>
      </c>
      <c r="E14" s="812">
        <v>43997</v>
      </c>
      <c r="F14" s="812">
        <v>70176</v>
      </c>
      <c r="G14" s="812">
        <v>42165</v>
      </c>
      <c r="H14" s="812">
        <v>69647</v>
      </c>
      <c r="I14" s="812">
        <v>41724</v>
      </c>
      <c r="J14" s="812">
        <v>68575</v>
      </c>
      <c r="K14" s="812">
        <v>41034</v>
      </c>
      <c r="L14" s="812">
        <v>65720</v>
      </c>
      <c r="M14" s="812">
        <v>38265</v>
      </c>
      <c r="N14" s="812">
        <v>60399</v>
      </c>
      <c r="O14" s="812">
        <v>35647</v>
      </c>
      <c r="P14" s="812">
        <v>56144</v>
      </c>
      <c r="Q14" s="812">
        <v>37402</v>
      </c>
      <c r="R14" s="812">
        <v>54006</v>
      </c>
      <c r="S14" s="812">
        <v>38078</v>
      </c>
      <c r="T14" s="812">
        <v>54506</v>
      </c>
      <c r="U14" s="812">
        <v>37998</v>
      </c>
      <c r="V14" s="812">
        <v>52566</v>
      </c>
    </row>
    <row r="15" spans="2:39" ht="4.5" customHeight="1">
      <c r="C15" s="795"/>
      <c r="D15" s="796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</row>
    <row r="16" spans="2:39" ht="16.5" customHeight="1">
      <c r="C16" s="1312" t="s">
        <v>732</v>
      </c>
      <c r="D16" s="1313"/>
      <c r="E16" s="814">
        <v>166661</v>
      </c>
      <c r="F16" s="814">
        <v>221042</v>
      </c>
      <c r="G16" s="814">
        <v>170488</v>
      </c>
      <c r="H16" s="814">
        <v>226113</v>
      </c>
      <c r="I16" s="814">
        <v>173971</v>
      </c>
      <c r="J16" s="814">
        <v>226860</v>
      </c>
      <c r="K16" s="814">
        <v>173567</v>
      </c>
      <c r="L16" s="814">
        <v>221496</v>
      </c>
      <c r="M16" s="814">
        <v>168884</v>
      </c>
      <c r="N16" s="814">
        <v>212053</v>
      </c>
      <c r="O16" s="814">
        <v>164520</v>
      </c>
      <c r="P16" s="814">
        <v>202792</v>
      </c>
      <c r="Q16" s="814">
        <v>168821</v>
      </c>
      <c r="R16" s="814">
        <v>197908</v>
      </c>
      <c r="S16" s="814">
        <v>175177</v>
      </c>
      <c r="T16" s="814">
        <v>201740</v>
      </c>
      <c r="U16" s="814">
        <v>174000</v>
      </c>
      <c r="V16" s="814">
        <v>199002</v>
      </c>
    </row>
    <row r="20" spans="3:3">
      <c r="C20" s="2" t="s">
        <v>885</v>
      </c>
    </row>
  </sheetData>
  <mergeCells count="14">
    <mergeCell ref="C8:C10"/>
    <mergeCell ref="C12:C14"/>
    <mergeCell ref="C16:D16"/>
    <mergeCell ref="C1:AM1"/>
    <mergeCell ref="C5:D6"/>
    <mergeCell ref="E5:F5"/>
    <mergeCell ref="G5:H5"/>
    <mergeCell ref="I5:J5"/>
    <mergeCell ref="K5:L5"/>
    <mergeCell ref="M5:N5"/>
    <mergeCell ref="O5:P5"/>
    <mergeCell ref="Q5:R5"/>
    <mergeCell ref="S5:T5"/>
    <mergeCell ref="U5:V5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B1:AM12"/>
  <sheetViews>
    <sheetView topLeftCell="U1" workbookViewId="0">
      <selection activeCell="F28" sqref="F28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17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172</v>
      </c>
    </row>
    <row r="5" spans="2:39" ht="30.75" customHeight="1">
      <c r="C5" s="815" t="s">
        <v>886</v>
      </c>
      <c r="D5" s="786" t="s">
        <v>680</v>
      </c>
      <c r="E5" s="787" t="s">
        <v>714</v>
      </c>
      <c r="F5" s="787" t="s">
        <v>715</v>
      </c>
      <c r="G5" s="787" t="s">
        <v>716</v>
      </c>
      <c r="H5" s="787" t="s">
        <v>446</v>
      </c>
      <c r="I5" s="787" t="s">
        <v>447</v>
      </c>
      <c r="J5" s="787" t="s">
        <v>448</v>
      </c>
      <c r="K5" s="787" t="s">
        <v>449</v>
      </c>
      <c r="L5" s="787" t="s">
        <v>450</v>
      </c>
      <c r="M5" s="787" t="s">
        <v>451</v>
      </c>
      <c r="N5" s="787" t="s">
        <v>452</v>
      </c>
      <c r="O5" s="787" t="s">
        <v>453</v>
      </c>
      <c r="P5" s="787" t="s">
        <v>454</v>
      </c>
      <c r="Q5" s="788" t="s">
        <v>745</v>
      </c>
    </row>
    <row r="6" spans="2:39" ht="18" customHeight="1">
      <c r="C6" s="816" t="s">
        <v>471</v>
      </c>
      <c r="D6" s="817">
        <v>34306</v>
      </c>
      <c r="E6" s="818">
        <v>36873</v>
      </c>
      <c r="F6" s="818">
        <v>40704</v>
      </c>
      <c r="G6" s="818">
        <v>43293</v>
      </c>
      <c r="H6" s="818">
        <v>46243</v>
      </c>
      <c r="I6" s="818">
        <v>48042</v>
      </c>
      <c r="J6" s="818">
        <v>49355</v>
      </c>
      <c r="K6" s="818">
        <v>49740</v>
      </c>
      <c r="L6" s="818">
        <v>46408</v>
      </c>
      <c r="M6" s="818">
        <v>47138</v>
      </c>
      <c r="N6" s="818">
        <v>47433</v>
      </c>
      <c r="O6" s="818">
        <v>47365</v>
      </c>
      <c r="P6" s="818">
        <v>49584</v>
      </c>
      <c r="Q6" s="818">
        <v>51081</v>
      </c>
    </row>
    <row r="7" spans="2:39" ht="18" customHeight="1">
      <c r="C7" s="819" t="s">
        <v>472</v>
      </c>
      <c r="D7" s="820">
        <v>37286</v>
      </c>
      <c r="E7" s="821">
        <v>43561</v>
      </c>
      <c r="F7" s="821">
        <v>44935</v>
      </c>
      <c r="G7" s="821">
        <v>45955</v>
      </c>
      <c r="H7" s="821">
        <v>45312</v>
      </c>
      <c r="I7" s="821">
        <v>36088</v>
      </c>
      <c r="J7" s="821">
        <v>35915</v>
      </c>
      <c r="K7" s="821">
        <v>35690</v>
      </c>
      <c r="L7" s="821">
        <v>34022</v>
      </c>
      <c r="M7" s="821">
        <v>34130</v>
      </c>
      <c r="N7" s="821">
        <v>36498</v>
      </c>
      <c r="O7" s="821">
        <v>36782</v>
      </c>
      <c r="P7" s="821">
        <v>36646</v>
      </c>
      <c r="Q7" s="821">
        <v>38364</v>
      </c>
    </row>
    <row r="8" spans="2:39" ht="18" customHeight="1">
      <c r="C8" s="822" t="s">
        <v>469</v>
      </c>
      <c r="D8" s="812">
        <v>71592</v>
      </c>
      <c r="E8" s="812">
        <v>80434</v>
      </c>
      <c r="F8" s="812">
        <v>85639</v>
      </c>
      <c r="G8" s="812">
        <v>89248</v>
      </c>
      <c r="H8" s="812">
        <v>91555</v>
      </c>
      <c r="I8" s="812">
        <v>84130</v>
      </c>
      <c r="J8" s="812">
        <v>85270</v>
      </c>
      <c r="K8" s="812">
        <v>85430</v>
      </c>
      <c r="L8" s="812">
        <v>80430</v>
      </c>
      <c r="M8" s="812">
        <v>81268</v>
      </c>
      <c r="N8" s="812">
        <v>83931</v>
      </c>
      <c r="O8" s="812">
        <v>84147</v>
      </c>
      <c r="P8" s="812">
        <v>86230</v>
      </c>
      <c r="Q8" s="812">
        <v>89445</v>
      </c>
    </row>
    <row r="12" spans="2:39">
      <c r="C12" s="2" t="s">
        <v>887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M25"/>
  <sheetViews>
    <sheetView workbookViewId="0"/>
  </sheetViews>
  <sheetFormatPr defaultRowHeight="15"/>
  <cols>
    <col min="1" max="1" width="2.28515625" customWidth="1"/>
    <col min="2" max="2" width="5.7109375" customWidth="1"/>
    <col min="3" max="3" width="11.42578125" customWidth="1"/>
    <col min="4" max="4" width="17.85546875" customWidth="1"/>
    <col min="5" max="14" width="6.710937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13</v>
      </c>
    </row>
    <row r="5" spans="2:39">
      <c r="C5" s="1134" t="s">
        <v>618</v>
      </c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</row>
    <row r="6" spans="2:39">
      <c r="C6" s="1135"/>
      <c r="D6" s="1135"/>
      <c r="E6" s="1135"/>
      <c r="F6" s="1135"/>
      <c r="G6" s="1135"/>
      <c r="H6" s="1135"/>
      <c r="I6" s="1135"/>
      <c r="J6" s="1135"/>
      <c r="K6" s="1135"/>
      <c r="L6" s="1135"/>
      <c r="M6" s="1135"/>
      <c r="N6" s="1135"/>
    </row>
    <row r="7" spans="2:39" ht="30" customHeight="1">
      <c r="C7" s="366" t="s">
        <v>619</v>
      </c>
      <c r="D7" s="367" t="s">
        <v>620</v>
      </c>
      <c r="E7" s="1136" t="s">
        <v>621</v>
      </c>
      <c r="F7" s="1137"/>
      <c r="G7" s="1137" t="s">
        <v>622</v>
      </c>
      <c r="H7" s="1137"/>
      <c r="I7" s="1137" t="s">
        <v>623</v>
      </c>
      <c r="J7" s="1137"/>
      <c r="K7" s="1137" t="s">
        <v>624</v>
      </c>
      <c r="L7" s="1137"/>
      <c r="M7" s="1137" t="s">
        <v>625</v>
      </c>
      <c r="N7" s="1137"/>
    </row>
    <row r="8" spans="2:39" ht="4.5" customHeight="1">
      <c r="C8" s="265"/>
      <c r="D8" s="368"/>
      <c r="E8" s="1132"/>
      <c r="F8" s="1132"/>
      <c r="G8" s="1132"/>
      <c r="H8" s="1132"/>
      <c r="I8" s="1132"/>
      <c r="J8" s="1132"/>
      <c r="K8" s="1133"/>
      <c r="L8" s="1133"/>
      <c r="M8" s="1133"/>
      <c r="N8" s="1133"/>
    </row>
    <row r="9" spans="2:39" ht="17.25" customHeight="1">
      <c r="C9" s="1120">
        <v>2000</v>
      </c>
      <c r="D9" s="370" t="s">
        <v>626</v>
      </c>
      <c r="E9" s="1123">
        <v>5.9</v>
      </c>
      <c r="F9" s="1123"/>
      <c r="G9" s="1123">
        <v>293.39999999999998</v>
      </c>
      <c r="H9" s="1123"/>
      <c r="I9" s="1123">
        <v>216.4</v>
      </c>
      <c r="J9" s="1123"/>
      <c r="K9" s="1123">
        <v>129.9</v>
      </c>
      <c r="L9" s="1123"/>
      <c r="M9" s="1123">
        <v>31.5</v>
      </c>
      <c r="N9" s="1130"/>
    </row>
    <row r="10" spans="2:39" ht="17.25" customHeight="1">
      <c r="C10" s="1120"/>
      <c r="D10" s="369" t="s">
        <v>627</v>
      </c>
      <c r="E10" s="1117">
        <v>32.299999999999997</v>
      </c>
      <c r="F10" s="1117"/>
      <c r="G10" s="1117">
        <v>671.3</v>
      </c>
      <c r="H10" s="1117"/>
      <c r="I10" s="1117">
        <v>211.5</v>
      </c>
      <c r="J10" s="1117"/>
      <c r="K10" s="1117">
        <v>250.8</v>
      </c>
      <c r="L10" s="1117"/>
      <c r="M10" s="1117">
        <v>190.6</v>
      </c>
      <c r="N10" s="1131"/>
    </row>
    <row r="11" spans="2:39" ht="17.25" customHeight="1">
      <c r="C11" s="1120"/>
      <c r="D11" s="371" t="s">
        <v>628</v>
      </c>
      <c r="E11" s="1111">
        <v>54.4</v>
      </c>
      <c r="F11" s="1111"/>
      <c r="G11" s="1111">
        <v>763.9</v>
      </c>
      <c r="H11" s="1111"/>
      <c r="I11" s="1111">
        <v>179</v>
      </c>
      <c r="J11" s="1111"/>
      <c r="K11" s="1111">
        <v>148.9</v>
      </c>
      <c r="L11" s="1111"/>
      <c r="M11" s="1111">
        <v>131.6</v>
      </c>
      <c r="N11" s="1128"/>
    </row>
    <row r="12" spans="2:39" ht="17.25" customHeight="1">
      <c r="C12" s="1120"/>
      <c r="D12" s="369" t="s">
        <v>629</v>
      </c>
      <c r="E12" s="1113">
        <v>223.5</v>
      </c>
      <c r="F12" s="1113"/>
      <c r="G12" s="1113">
        <v>1030.5</v>
      </c>
      <c r="H12" s="1113"/>
      <c r="I12" s="1113">
        <v>141.69999999999999</v>
      </c>
      <c r="J12" s="1113"/>
      <c r="K12" s="1113">
        <v>94.199999999999989</v>
      </c>
      <c r="L12" s="1113"/>
      <c r="M12" s="1113">
        <v>125</v>
      </c>
      <c r="N12" s="1129"/>
    </row>
    <row r="13" spans="2:39" ht="17.25" customHeight="1">
      <c r="C13" s="1120"/>
      <c r="D13" s="371" t="s">
        <v>316</v>
      </c>
      <c r="E13" s="1125">
        <v>155</v>
      </c>
      <c r="F13" s="1125"/>
      <c r="G13" s="1125">
        <v>122</v>
      </c>
      <c r="H13" s="1125"/>
      <c r="I13" s="1125">
        <v>6.7</v>
      </c>
      <c r="J13" s="1125"/>
      <c r="K13" s="1125">
        <v>5</v>
      </c>
      <c r="L13" s="1125"/>
      <c r="M13" s="1125">
        <v>7.7</v>
      </c>
      <c r="N13" s="1126"/>
    </row>
    <row r="14" spans="2:39" ht="12" customHeight="1">
      <c r="C14" s="258"/>
      <c r="D14" s="265"/>
      <c r="E14" s="1127"/>
      <c r="F14" s="1127"/>
      <c r="G14" s="1127"/>
      <c r="H14" s="1127"/>
      <c r="I14" s="1127"/>
      <c r="J14" s="1127"/>
      <c r="K14" s="1127"/>
      <c r="L14" s="1127"/>
      <c r="M14" s="1127"/>
      <c r="N14" s="1127"/>
    </row>
    <row r="15" spans="2:39" ht="17.25" customHeight="1">
      <c r="C15" s="1120">
        <v>2009</v>
      </c>
      <c r="D15" s="370" t="s">
        <v>626</v>
      </c>
      <c r="E15" s="1123">
        <v>1.5</v>
      </c>
      <c r="F15" s="1124"/>
      <c r="G15" s="1121">
        <v>93.200000000000017</v>
      </c>
      <c r="H15" s="1122"/>
      <c r="I15" s="1111">
        <v>186.60000000000002</v>
      </c>
      <c r="J15" s="1116"/>
      <c r="K15" s="1111">
        <v>141.99999999999997</v>
      </c>
      <c r="L15" s="1116"/>
      <c r="M15" s="1111">
        <v>42</v>
      </c>
      <c r="N15" s="1116"/>
    </row>
    <row r="16" spans="2:39" ht="17.25" customHeight="1">
      <c r="C16" s="1120"/>
      <c r="D16" s="369" t="s">
        <v>627</v>
      </c>
      <c r="E16" s="1117">
        <v>13.3</v>
      </c>
      <c r="F16" s="1118"/>
      <c r="G16" s="1117">
        <v>315.80000000000007</v>
      </c>
      <c r="H16" s="1118"/>
      <c r="I16" s="1117">
        <v>407.3</v>
      </c>
      <c r="J16" s="1118"/>
      <c r="K16" s="1117">
        <v>353.7</v>
      </c>
      <c r="L16" s="1118"/>
      <c r="M16" s="1117">
        <v>353.9</v>
      </c>
      <c r="N16" s="1119"/>
    </row>
    <row r="17" spans="3:14" ht="17.25" customHeight="1">
      <c r="C17" s="1120"/>
      <c r="D17" s="371" t="s">
        <v>628</v>
      </c>
      <c r="E17" s="1111">
        <v>23.9</v>
      </c>
      <c r="F17" s="1116"/>
      <c r="G17" s="1111">
        <v>638.29999999999995</v>
      </c>
      <c r="H17" s="1116"/>
      <c r="I17" s="1111">
        <v>287.39999999999998</v>
      </c>
      <c r="J17" s="1116"/>
      <c r="K17" s="1111">
        <v>250.5</v>
      </c>
      <c r="L17" s="1116"/>
      <c r="M17" s="1111">
        <v>234.7</v>
      </c>
      <c r="N17" s="1112"/>
    </row>
    <row r="18" spans="3:14" ht="17.25" customHeight="1">
      <c r="C18" s="1120"/>
      <c r="D18" s="369" t="s">
        <v>629</v>
      </c>
      <c r="E18" s="1113">
        <v>81.400000000000006</v>
      </c>
      <c r="F18" s="1114"/>
      <c r="G18" s="1113">
        <v>1137.4000000000001</v>
      </c>
      <c r="H18" s="1114"/>
      <c r="I18" s="1113">
        <v>297.5</v>
      </c>
      <c r="J18" s="1114"/>
      <c r="K18" s="1113">
        <v>187.39999999999998</v>
      </c>
      <c r="L18" s="1114"/>
      <c r="M18" s="1113">
        <v>213</v>
      </c>
      <c r="N18" s="1115"/>
    </row>
    <row r="19" spans="3:14" ht="17.25" customHeight="1">
      <c r="C19" s="1120"/>
      <c r="D19" s="371" t="s">
        <v>316</v>
      </c>
      <c r="E19" s="1111">
        <v>109.2</v>
      </c>
      <c r="F19" s="1116"/>
      <c r="G19" s="1111">
        <v>184.7</v>
      </c>
      <c r="H19" s="1116"/>
      <c r="I19" s="1111">
        <v>8.1</v>
      </c>
      <c r="J19" s="1116"/>
      <c r="K19" s="1111">
        <v>5.7</v>
      </c>
      <c r="L19" s="1116"/>
      <c r="M19" s="1111">
        <v>10.6</v>
      </c>
      <c r="N19" s="1112"/>
    </row>
    <row r="23" spans="3:14">
      <c r="C23" s="2" t="s">
        <v>630</v>
      </c>
    </row>
    <row r="25" spans="3:14">
      <c r="C25" s="2" t="s">
        <v>631</v>
      </c>
    </row>
  </sheetData>
  <mergeCells count="69">
    <mergeCell ref="C5:N6"/>
    <mergeCell ref="E7:F7"/>
    <mergeCell ref="G7:H7"/>
    <mergeCell ref="I7:J7"/>
    <mergeCell ref="K7:L7"/>
    <mergeCell ref="M7:N7"/>
    <mergeCell ref="E8:F8"/>
    <mergeCell ref="G8:H8"/>
    <mergeCell ref="I8:J8"/>
    <mergeCell ref="K8:L8"/>
    <mergeCell ref="M8:N8"/>
    <mergeCell ref="C9:C13"/>
    <mergeCell ref="E9:F9"/>
    <mergeCell ref="G9:H9"/>
    <mergeCell ref="I9:J9"/>
    <mergeCell ref="K9:L9"/>
    <mergeCell ref="E11:F11"/>
    <mergeCell ref="G11:H11"/>
    <mergeCell ref="I11:J11"/>
    <mergeCell ref="K11:L11"/>
    <mergeCell ref="E13:F13"/>
    <mergeCell ref="G13:H13"/>
    <mergeCell ref="I13:J13"/>
    <mergeCell ref="K13:L13"/>
    <mergeCell ref="M9:N9"/>
    <mergeCell ref="E10:F10"/>
    <mergeCell ref="G10:H10"/>
    <mergeCell ref="I10:J10"/>
    <mergeCell ref="K10:L10"/>
    <mergeCell ref="M10:N10"/>
    <mergeCell ref="M11:N11"/>
    <mergeCell ref="E12:F12"/>
    <mergeCell ref="G12:H12"/>
    <mergeCell ref="I12:J12"/>
    <mergeCell ref="K12:L12"/>
    <mergeCell ref="M12:N12"/>
    <mergeCell ref="M13:N13"/>
    <mergeCell ref="E14:F14"/>
    <mergeCell ref="G14:H14"/>
    <mergeCell ref="I14:J14"/>
    <mergeCell ref="K14:L14"/>
    <mergeCell ref="M14:N14"/>
    <mergeCell ref="E17:F17"/>
    <mergeCell ref="G17:H17"/>
    <mergeCell ref="I17:J17"/>
    <mergeCell ref="E15:F15"/>
    <mergeCell ref="K17:L17"/>
    <mergeCell ref="G19:H19"/>
    <mergeCell ref="I19:J19"/>
    <mergeCell ref="K19:L19"/>
    <mergeCell ref="G15:H15"/>
    <mergeCell ref="I15:J15"/>
    <mergeCell ref="K15:L15"/>
    <mergeCell ref="C1:AM1"/>
    <mergeCell ref="M19:N19"/>
    <mergeCell ref="M17:N17"/>
    <mergeCell ref="E18:F18"/>
    <mergeCell ref="G18:H18"/>
    <mergeCell ref="I18:J18"/>
    <mergeCell ref="K18:L18"/>
    <mergeCell ref="M18:N18"/>
    <mergeCell ref="M15:N15"/>
    <mergeCell ref="E16:F16"/>
    <mergeCell ref="G16:H16"/>
    <mergeCell ref="I16:J16"/>
    <mergeCell ref="K16:L16"/>
    <mergeCell ref="M16:N16"/>
    <mergeCell ref="C15:C19"/>
    <mergeCell ref="E19:F1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B1:AM12"/>
  <sheetViews>
    <sheetView topLeftCell="U1" workbookViewId="0">
      <selection activeCell="C12" sqref="C12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4" width="14.7109375" customWidth="1"/>
    <col min="5" max="18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174</v>
      </c>
    </row>
    <row r="5" spans="2:39" ht="25.5" customHeight="1">
      <c r="C5" s="1316" t="s">
        <v>470</v>
      </c>
      <c r="D5" s="1317"/>
      <c r="E5" s="786" t="s">
        <v>680</v>
      </c>
      <c r="F5" s="787" t="s">
        <v>714</v>
      </c>
      <c r="G5" s="787" t="s">
        <v>715</v>
      </c>
      <c r="H5" s="787" t="s">
        <v>716</v>
      </c>
      <c r="I5" s="787" t="s">
        <v>446</v>
      </c>
      <c r="J5" s="787" t="s">
        <v>447</v>
      </c>
      <c r="K5" s="787" t="s">
        <v>448</v>
      </c>
      <c r="L5" s="787" t="s">
        <v>449</v>
      </c>
      <c r="M5" s="787" t="s">
        <v>450</v>
      </c>
      <c r="N5" s="787" t="s">
        <v>451</v>
      </c>
      <c r="O5" s="787" t="s">
        <v>452</v>
      </c>
      <c r="P5" s="787" t="s">
        <v>453</v>
      </c>
      <c r="Q5" s="787" t="s">
        <v>454</v>
      </c>
      <c r="R5" s="788" t="s">
        <v>745</v>
      </c>
    </row>
    <row r="6" spans="2:39" ht="18" customHeight="1">
      <c r="C6" s="1318" t="s">
        <v>471</v>
      </c>
      <c r="D6" s="824" t="s">
        <v>882</v>
      </c>
      <c r="E6" s="817">
        <v>20817</v>
      </c>
      <c r="F6" s="818">
        <v>21945</v>
      </c>
      <c r="G6" s="818">
        <v>23057</v>
      </c>
      <c r="H6" s="818">
        <v>24596</v>
      </c>
      <c r="I6" s="818">
        <v>25946</v>
      </c>
      <c r="J6" s="818">
        <v>26847</v>
      </c>
      <c r="K6" s="818">
        <v>27281</v>
      </c>
      <c r="L6" s="818">
        <v>27441</v>
      </c>
      <c r="M6" s="818">
        <v>25681</v>
      </c>
      <c r="N6" s="818">
        <v>26068</v>
      </c>
      <c r="O6" s="818">
        <v>26129</v>
      </c>
      <c r="P6" s="818">
        <v>26163</v>
      </c>
      <c r="Q6" s="818">
        <v>26702</v>
      </c>
      <c r="R6" s="818">
        <v>27013</v>
      </c>
    </row>
    <row r="7" spans="2:39" ht="18" customHeight="1">
      <c r="C7" s="1318"/>
      <c r="D7" s="825" t="s">
        <v>883</v>
      </c>
      <c r="E7" s="820">
        <v>13489</v>
      </c>
      <c r="F7" s="821">
        <v>14928</v>
      </c>
      <c r="G7" s="821">
        <v>17647</v>
      </c>
      <c r="H7" s="821">
        <v>18697</v>
      </c>
      <c r="I7" s="821">
        <v>20297</v>
      </c>
      <c r="J7" s="821">
        <v>21195</v>
      </c>
      <c r="K7" s="821">
        <v>22074</v>
      </c>
      <c r="L7" s="821">
        <v>22299</v>
      </c>
      <c r="M7" s="821">
        <v>20727</v>
      </c>
      <c r="N7" s="821">
        <v>21070</v>
      </c>
      <c r="O7" s="821">
        <v>21304</v>
      </c>
      <c r="P7" s="821">
        <v>21202</v>
      </c>
      <c r="Q7" s="821">
        <v>22882</v>
      </c>
      <c r="R7" s="821">
        <v>24068</v>
      </c>
    </row>
    <row r="8" spans="2:39" ht="18" customHeight="1">
      <c r="C8" s="1319"/>
      <c r="D8" s="793" t="s">
        <v>469</v>
      </c>
      <c r="E8" s="823">
        <v>34306</v>
      </c>
      <c r="F8" s="823">
        <v>36873</v>
      </c>
      <c r="G8" s="823">
        <v>40704</v>
      </c>
      <c r="H8" s="823">
        <v>43293</v>
      </c>
      <c r="I8" s="823">
        <v>46243</v>
      </c>
      <c r="J8" s="823">
        <v>48042</v>
      </c>
      <c r="K8" s="823">
        <v>49355</v>
      </c>
      <c r="L8" s="823">
        <v>49740</v>
      </c>
      <c r="M8" s="823">
        <v>46408</v>
      </c>
      <c r="N8" s="823">
        <v>47138</v>
      </c>
      <c r="O8" s="823">
        <v>47433</v>
      </c>
      <c r="P8" s="823">
        <v>47365</v>
      </c>
      <c r="Q8" s="823">
        <v>49584</v>
      </c>
      <c r="R8" s="823">
        <v>51081</v>
      </c>
    </row>
    <row r="12" spans="2:39">
      <c r="C12" s="2" t="s">
        <v>887</v>
      </c>
    </row>
  </sheetData>
  <mergeCells count="3">
    <mergeCell ref="C5:D5"/>
    <mergeCell ref="C6:C8"/>
    <mergeCell ref="C1:AM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B1:AM12"/>
  <sheetViews>
    <sheetView topLeftCell="U1" workbookViewId="0">
      <selection activeCell="N5" sqref="N5:R5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4" width="14.7109375" customWidth="1"/>
    <col min="5" max="18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176</v>
      </c>
    </row>
    <row r="5" spans="2:39" ht="25.5" customHeight="1">
      <c r="C5" s="1316" t="s">
        <v>470</v>
      </c>
      <c r="D5" s="1317"/>
      <c r="E5" s="786" t="s">
        <v>680</v>
      </c>
      <c r="F5" s="787" t="s">
        <v>714</v>
      </c>
      <c r="G5" s="787" t="s">
        <v>715</v>
      </c>
      <c r="H5" s="787" t="s">
        <v>716</v>
      </c>
      <c r="I5" s="787" t="s">
        <v>446</v>
      </c>
      <c r="J5" s="787" t="s">
        <v>447</v>
      </c>
      <c r="K5" s="787" t="s">
        <v>448</v>
      </c>
      <c r="L5" s="787" t="s">
        <v>449</v>
      </c>
      <c r="M5" s="787" t="s">
        <v>450</v>
      </c>
      <c r="N5" s="787" t="s">
        <v>451</v>
      </c>
      <c r="O5" s="787" t="s">
        <v>452</v>
      </c>
      <c r="P5" s="787" t="s">
        <v>453</v>
      </c>
      <c r="Q5" s="787" t="s">
        <v>454</v>
      </c>
      <c r="R5" s="788" t="s">
        <v>745</v>
      </c>
    </row>
    <row r="6" spans="2:39" ht="18" customHeight="1">
      <c r="C6" s="1318" t="s">
        <v>472</v>
      </c>
      <c r="D6" s="824" t="s">
        <v>882</v>
      </c>
      <c r="E6" s="817">
        <v>26161</v>
      </c>
      <c r="F6" s="818">
        <v>30503</v>
      </c>
      <c r="G6" s="818">
        <v>31724</v>
      </c>
      <c r="H6" s="818">
        <v>32156</v>
      </c>
      <c r="I6" s="818">
        <v>31143</v>
      </c>
      <c r="J6" s="818">
        <v>24559</v>
      </c>
      <c r="K6" s="818">
        <v>24370</v>
      </c>
      <c r="L6" s="818">
        <v>23595</v>
      </c>
      <c r="M6" s="818">
        <v>22458</v>
      </c>
      <c r="N6" s="818">
        <v>22808</v>
      </c>
      <c r="O6" s="818">
        <v>24311</v>
      </c>
      <c r="P6" s="818">
        <v>24277</v>
      </c>
      <c r="Q6" s="818">
        <v>23351</v>
      </c>
      <c r="R6" s="818">
        <v>24750</v>
      </c>
    </row>
    <row r="7" spans="2:39" ht="18" customHeight="1">
      <c r="C7" s="1318"/>
      <c r="D7" s="825" t="s">
        <v>883</v>
      </c>
      <c r="E7" s="820">
        <v>11125</v>
      </c>
      <c r="F7" s="821">
        <v>13058</v>
      </c>
      <c r="G7" s="821">
        <v>13211</v>
      </c>
      <c r="H7" s="821">
        <v>13799</v>
      </c>
      <c r="I7" s="821">
        <v>14169</v>
      </c>
      <c r="J7" s="821">
        <v>11529</v>
      </c>
      <c r="K7" s="821">
        <v>11545</v>
      </c>
      <c r="L7" s="821">
        <v>12095</v>
      </c>
      <c r="M7" s="821">
        <v>11564</v>
      </c>
      <c r="N7" s="821">
        <v>11322</v>
      </c>
      <c r="O7" s="821">
        <v>12187</v>
      </c>
      <c r="P7" s="821">
        <v>12505</v>
      </c>
      <c r="Q7" s="821">
        <v>13295</v>
      </c>
      <c r="R7" s="821">
        <v>13614</v>
      </c>
    </row>
    <row r="8" spans="2:39" ht="18" customHeight="1">
      <c r="C8" s="1319"/>
      <c r="D8" s="793" t="s">
        <v>469</v>
      </c>
      <c r="E8" s="823">
        <v>37286</v>
      </c>
      <c r="F8" s="823">
        <v>43561</v>
      </c>
      <c r="G8" s="823">
        <v>44935</v>
      </c>
      <c r="H8" s="823">
        <v>45955</v>
      </c>
      <c r="I8" s="823">
        <v>45312</v>
      </c>
      <c r="J8" s="823">
        <v>36088</v>
      </c>
      <c r="K8" s="823">
        <v>35915</v>
      </c>
      <c r="L8" s="823">
        <v>35690</v>
      </c>
      <c r="M8" s="823">
        <v>34022</v>
      </c>
      <c r="N8" s="823">
        <v>34130</v>
      </c>
      <c r="O8" s="823">
        <v>36498</v>
      </c>
      <c r="P8" s="823">
        <v>36782</v>
      </c>
      <c r="Q8" s="823">
        <v>36646</v>
      </c>
      <c r="R8" s="823">
        <v>38364</v>
      </c>
    </row>
    <row r="12" spans="2:39">
      <c r="C12" s="2" t="s">
        <v>887</v>
      </c>
    </row>
  </sheetData>
  <mergeCells count="3">
    <mergeCell ref="C1:AM1"/>
    <mergeCell ref="C5:D5"/>
    <mergeCell ref="C6:C8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B1:AM24"/>
  <sheetViews>
    <sheetView topLeftCell="U1" workbookViewId="0">
      <selection activeCell="I34" sqref="I34"/>
    </sheetView>
  </sheetViews>
  <sheetFormatPr defaultRowHeight="15"/>
  <cols>
    <col min="1" max="1" width="2.28515625" customWidth="1"/>
    <col min="2" max="2" width="5.7109375" customWidth="1"/>
    <col min="3" max="6" width="12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178</v>
      </c>
    </row>
    <row r="5" spans="2:39" ht="24" customHeight="1">
      <c r="C5" s="1320" t="s">
        <v>888</v>
      </c>
      <c r="D5" s="1321"/>
      <c r="E5" s="1321"/>
      <c r="F5" s="1321"/>
    </row>
    <row r="6" spans="2:39" ht="27" customHeight="1">
      <c r="C6" s="695" t="s">
        <v>542</v>
      </c>
      <c r="D6" s="696" t="s">
        <v>889</v>
      </c>
      <c r="E6" s="716" t="s">
        <v>890</v>
      </c>
      <c r="F6" s="717" t="s">
        <v>891</v>
      </c>
    </row>
    <row r="7" spans="2:39">
      <c r="C7" s="826">
        <v>1999</v>
      </c>
      <c r="D7" s="810">
        <v>48051</v>
      </c>
      <c r="E7" s="810">
        <v>45156</v>
      </c>
      <c r="F7" s="810">
        <v>36782</v>
      </c>
    </row>
    <row r="8" spans="2:39">
      <c r="C8" s="547">
        <v>2000</v>
      </c>
      <c r="D8" s="253">
        <v>50755</v>
      </c>
      <c r="E8" s="253">
        <v>46965</v>
      </c>
      <c r="F8" s="260">
        <v>40100</v>
      </c>
    </row>
    <row r="9" spans="2:39">
      <c r="C9" s="826">
        <v>2001</v>
      </c>
      <c r="D9" s="810">
        <v>45210</v>
      </c>
      <c r="E9" s="810">
        <v>48229</v>
      </c>
      <c r="F9" s="810">
        <v>36381</v>
      </c>
    </row>
    <row r="10" spans="2:39">
      <c r="C10" s="547">
        <v>2002</v>
      </c>
      <c r="D10" s="253">
        <v>46292</v>
      </c>
      <c r="E10" s="253">
        <v>48468</v>
      </c>
      <c r="F10" s="260">
        <v>38379</v>
      </c>
    </row>
    <row r="11" spans="2:39">
      <c r="C11" s="826">
        <v>2003</v>
      </c>
      <c r="D11" s="810">
        <f>9780+31882</f>
        <v>41662</v>
      </c>
      <c r="E11" s="810">
        <v>45357</v>
      </c>
      <c r="F11" s="810">
        <v>36077</v>
      </c>
    </row>
    <row r="12" spans="2:39">
      <c r="C12" s="547">
        <v>2004</v>
      </c>
      <c r="D12" s="253">
        <v>42595</v>
      </c>
      <c r="E12" s="253">
        <v>46057</v>
      </c>
      <c r="F12" s="260">
        <f>37551+17</f>
        <v>37568</v>
      </c>
    </row>
    <row r="13" spans="2:39">
      <c r="C13" s="826">
        <v>2005</v>
      </c>
      <c r="D13" s="810">
        <v>38976</v>
      </c>
      <c r="E13" s="810">
        <v>46399</v>
      </c>
      <c r="F13" s="810">
        <v>33520</v>
      </c>
    </row>
    <row r="14" spans="2:39">
      <c r="C14" s="547">
        <v>2006</v>
      </c>
      <c r="D14" s="253">
        <v>40521</v>
      </c>
      <c r="E14" s="253">
        <v>46528</v>
      </c>
      <c r="F14" s="260">
        <v>34860</v>
      </c>
    </row>
    <row r="15" spans="2:39">
      <c r="C15" s="826">
        <v>2007</v>
      </c>
      <c r="D15" s="810">
        <v>51472</v>
      </c>
      <c r="E15" s="810">
        <v>48710</v>
      </c>
      <c r="F15" s="810">
        <v>41938</v>
      </c>
    </row>
    <row r="16" spans="2:39">
      <c r="C16" s="547">
        <v>2008</v>
      </c>
      <c r="D16" s="253">
        <v>53062</v>
      </c>
      <c r="E16" s="253">
        <v>50219</v>
      </c>
      <c r="F16" s="260">
        <v>44336</v>
      </c>
    </row>
    <row r="17" spans="3:6">
      <c r="C17" s="827">
        <v>2009</v>
      </c>
      <c r="D17" s="828">
        <v>52539</v>
      </c>
      <c r="E17" s="828">
        <v>51352</v>
      </c>
      <c r="F17" s="828">
        <v>45277</v>
      </c>
    </row>
    <row r="24" spans="3:6">
      <c r="C24" s="2" t="s">
        <v>892</v>
      </c>
    </row>
  </sheetData>
  <mergeCells count="2">
    <mergeCell ref="C1:AM1"/>
    <mergeCell ref="C5:F5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B1:AM18"/>
  <sheetViews>
    <sheetView workbookViewId="0"/>
  </sheetViews>
  <sheetFormatPr defaultRowHeight="15"/>
  <cols>
    <col min="1" max="1" width="2.28515625" customWidth="1"/>
    <col min="2" max="2" width="5.7109375" customWidth="1"/>
    <col min="3" max="3" width="47.28515625" customWidth="1"/>
    <col min="4" max="8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180</v>
      </c>
    </row>
    <row r="5" spans="2:39">
      <c r="C5" s="1324" t="s">
        <v>925</v>
      </c>
      <c r="D5" s="1326" t="s">
        <v>451</v>
      </c>
      <c r="E5" s="1326" t="s">
        <v>452</v>
      </c>
      <c r="F5" s="1326" t="s">
        <v>453</v>
      </c>
      <c r="G5" s="1326" t="s">
        <v>454</v>
      </c>
      <c r="H5" s="1322" t="s">
        <v>745</v>
      </c>
    </row>
    <row r="6" spans="2:39">
      <c r="C6" s="1325"/>
      <c r="D6" s="1327"/>
      <c r="E6" s="1327"/>
      <c r="F6" s="1327"/>
      <c r="G6" s="1327"/>
      <c r="H6" s="1323"/>
    </row>
    <row r="7" spans="2:39" ht="17.25" customHeight="1">
      <c r="C7" s="758" t="s">
        <v>926</v>
      </c>
      <c r="D7" s="810">
        <v>93</v>
      </c>
      <c r="E7" s="810">
        <v>199</v>
      </c>
      <c r="F7" s="810">
        <v>356</v>
      </c>
      <c r="G7" s="810">
        <v>349</v>
      </c>
      <c r="H7" s="810">
        <v>436</v>
      </c>
    </row>
    <row r="8" spans="2:39" ht="17.25" customHeight="1">
      <c r="C8" s="758" t="s">
        <v>927</v>
      </c>
      <c r="D8" s="810">
        <v>55</v>
      </c>
      <c r="E8" s="810">
        <v>235</v>
      </c>
      <c r="F8" s="810">
        <v>381</v>
      </c>
      <c r="G8" s="810">
        <v>987</v>
      </c>
      <c r="H8" s="810">
        <v>1300</v>
      </c>
    </row>
    <row r="9" spans="2:39" ht="17.25" customHeight="1">
      <c r="C9" s="758" t="s">
        <v>928</v>
      </c>
      <c r="D9" s="810">
        <v>69</v>
      </c>
      <c r="E9" s="810">
        <v>340</v>
      </c>
      <c r="F9" s="810">
        <v>549</v>
      </c>
      <c r="G9" s="810">
        <v>920</v>
      </c>
      <c r="H9" s="810">
        <v>1095</v>
      </c>
    </row>
    <row r="10" spans="2:39" ht="17.25" customHeight="1">
      <c r="C10" s="758" t="s">
        <v>929</v>
      </c>
      <c r="D10" s="810">
        <v>65</v>
      </c>
      <c r="E10" s="810">
        <v>349</v>
      </c>
      <c r="F10" s="810">
        <v>595</v>
      </c>
      <c r="G10" s="810">
        <v>1649</v>
      </c>
      <c r="H10" s="810">
        <v>1868</v>
      </c>
    </row>
    <row r="11" spans="2:39" ht="17.25" customHeight="1">
      <c r="C11" s="758" t="s">
        <v>930</v>
      </c>
      <c r="D11" s="810">
        <v>0</v>
      </c>
      <c r="E11" s="810">
        <v>22</v>
      </c>
      <c r="F11" s="810">
        <v>69</v>
      </c>
      <c r="G11" s="810">
        <v>152</v>
      </c>
      <c r="H11" s="810">
        <v>239</v>
      </c>
    </row>
    <row r="12" spans="2:39" ht="17.25" customHeight="1">
      <c r="C12" s="758" t="s">
        <v>931</v>
      </c>
      <c r="D12" s="810">
        <v>0</v>
      </c>
      <c r="E12" s="810">
        <v>29</v>
      </c>
      <c r="F12" s="810">
        <v>159</v>
      </c>
      <c r="G12" s="810">
        <v>165</v>
      </c>
      <c r="H12" s="810">
        <v>235</v>
      </c>
    </row>
    <row r="13" spans="2:39" ht="17.25" customHeight="1">
      <c r="C13" s="888" t="s">
        <v>932</v>
      </c>
      <c r="D13" s="810">
        <v>12</v>
      </c>
      <c r="E13" s="810">
        <v>85</v>
      </c>
      <c r="F13" s="810">
        <v>144</v>
      </c>
      <c r="G13" s="810">
        <v>589</v>
      </c>
      <c r="H13" s="810">
        <v>659</v>
      </c>
    </row>
    <row r="14" spans="2:39" ht="18" customHeight="1">
      <c r="C14" s="842" t="s">
        <v>732</v>
      </c>
      <c r="D14" s="843">
        <v>294</v>
      </c>
      <c r="E14" s="843">
        <v>1259</v>
      </c>
      <c r="F14" s="843">
        <v>2253</v>
      </c>
      <c r="G14" s="843">
        <v>4811</v>
      </c>
      <c r="H14" s="844">
        <v>5832</v>
      </c>
    </row>
    <row r="18" spans="3:3">
      <c r="C18" s="2" t="s">
        <v>884</v>
      </c>
    </row>
  </sheetData>
  <mergeCells count="7">
    <mergeCell ref="H5:H6"/>
    <mergeCell ref="C1:AM1"/>
    <mergeCell ref="C5:C6"/>
    <mergeCell ref="D5:D6"/>
    <mergeCell ref="E5:E6"/>
    <mergeCell ref="F5:F6"/>
    <mergeCell ref="G5:G6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B1:AM26"/>
  <sheetViews>
    <sheetView workbookViewId="0"/>
  </sheetViews>
  <sheetFormatPr defaultRowHeight="15"/>
  <cols>
    <col min="1" max="1" width="2.28515625" customWidth="1"/>
    <col min="2" max="2" width="5.7109375" customWidth="1"/>
    <col min="3" max="3" width="21.140625" customWidth="1"/>
    <col min="4" max="4" width="2.5703125" customWidth="1"/>
    <col min="5" max="7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182</v>
      </c>
    </row>
    <row r="4" spans="2:39" s="453" customFormat="1"/>
    <row r="5" spans="2:39" ht="24.75" customHeight="1">
      <c r="E5" s="1328" t="s">
        <v>933</v>
      </c>
      <c r="F5" s="1328"/>
      <c r="G5" s="1328"/>
    </row>
    <row r="6" spans="2:39" ht="25.5" customHeight="1">
      <c r="C6" s="1302" t="s">
        <v>893</v>
      </c>
      <c r="D6" s="1303"/>
      <c r="E6" s="787" t="s">
        <v>453</v>
      </c>
      <c r="F6" s="788" t="s">
        <v>454</v>
      </c>
      <c r="G6" s="788" t="s">
        <v>745</v>
      </c>
    </row>
    <row r="7" spans="2:39" ht="4.5" customHeight="1">
      <c r="C7" s="829"/>
      <c r="D7" s="829"/>
      <c r="E7" s="790"/>
      <c r="F7" s="790"/>
      <c r="G7" s="790"/>
    </row>
    <row r="8" spans="2:39" ht="17.25" customHeight="1">
      <c r="C8" s="1304" t="s">
        <v>894</v>
      </c>
      <c r="D8" s="1305"/>
      <c r="E8" s="799">
        <v>4257</v>
      </c>
      <c r="F8" s="799">
        <v>6039</v>
      </c>
      <c r="G8" s="799">
        <f>G9+G10</f>
        <v>5373</v>
      </c>
    </row>
    <row r="9" spans="2:39" ht="17.25" customHeight="1">
      <c r="C9" s="833" t="s">
        <v>895</v>
      </c>
      <c r="D9" s="834" t="s">
        <v>896</v>
      </c>
      <c r="E9" s="801">
        <v>1271</v>
      </c>
      <c r="F9" s="801">
        <v>2083</v>
      </c>
      <c r="G9" s="801">
        <v>1887</v>
      </c>
    </row>
    <row r="10" spans="2:39" ht="17.25" customHeight="1">
      <c r="C10" s="836" t="s">
        <v>897</v>
      </c>
      <c r="D10" s="837" t="s">
        <v>898</v>
      </c>
      <c r="E10" s="801">
        <v>2986</v>
      </c>
      <c r="F10" s="801">
        <v>3956</v>
      </c>
      <c r="G10" s="801">
        <v>3486</v>
      </c>
    </row>
    <row r="11" spans="2:39" ht="4.5" customHeight="1">
      <c r="C11" s="839"/>
      <c r="D11" s="840"/>
      <c r="E11" s="841"/>
      <c r="F11" s="841"/>
      <c r="G11" s="841"/>
    </row>
    <row r="12" spans="2:39" ht="17.25" customHeight="1">
      <c r="C12" s="1304" t="s">
        <v>899</v>
      </c>
      <c r="D12" s="1306"/>
      <c r="E12" s="799">
        <v>6599</v>
      </c>
      <c r="F12" s="799">
        <v>5734</v>
      </c>
      <c r="G12" s="799">
        <f>G13+G14</f>
        <v>5116</v>
      </c>
    </row>
    <row r="13" spans="2:39" ht="17.25" customHeight="1">
      <c r="C13" s="833" t="s">
        <v>895</v>
      </c>
      <c r="D13" s="834" t="s">
        <v>896</v>
      </c>
      <c r="E13" s="801">
        <v>4820</v>
      </c>
      <c r="F13" s="801">
        <v>3723</v>
      </c>
      <c r="G13" s="801">
        <v>3421</v>
      </c>
    </row>
    <row r="14" spans="2:39" ht="17.25" customHeight="1">
      <c r="C14" s="836" t="s">
        <v>897</v>
      </c>
      <c r="D14" s="837" t="s">
        <v>898</v>
      </c>
      <c r="E14" s="801">
        <v>1779</v>
      </c>
      <c r="F14" s="801">
        <v>2011</v>
      </c>
      <c r="G14" s="801">
        <v>1695</v>
      </c>
    </row>
    <row r="15" spans="2:39" ht="6" customHeight="1">
      <c r="C15" s="839"/>
      <c r="D15" s="840"/>
      <c r="E15" s="841"/>
      <c r="F15" s="841"/>
      <c r="G15" s="841"/>
    </row>
    <row r="16" spans="2:39" ht="18" customHeight="1">
      <c r="C16" s="1307" t="s">
        <v>732</v>
      </c>
      <c r="D16" s="1308"/>
      <c r="E16" s="889">
        <v>10856</v>
      </c>
      <c r="F16" s="889">
        <v>11773</v>
      </c>
      <c r="G16" s="890">
        <f>SUM(G8:G14)/2</f>
        <v>10489</v>
      </c>
    </row>
    <row r="26" spans="3:3">
      <c r="C26" s="2" t="s">
        <v>884</v>
      </c>
    </row>
  </sheetData>
  <mergeCells count="6">
    <mergeCell ref="C1:AM1"/>
    <mergeCell ref="C6:D6"/>
    <mergeCell ref="C8:D8"/>
    <mergeCell ref="C12:D12"/>
    <mergeCell ref="C16:D16"/>
    <mergeCell ref="E5:G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B1:AM29"/>
  <sheetViews>
    <sheetView workbookViewId="0">
      <selection activeCell="C1" sqref="C1:AM1"/>
    </sheetView>
  </sheetViews>
  <sheetFormatPr defaultRowHeight="15"/>
  <cols>
    <col min="1" max="1" width="2.28515625" customWidth="1"/>
    <col min="2" max="2" width="5.7109375" customWidth="1"/>
    <col min="3" max="6" width="11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184</v>
      </c>
    </row>
    <row r="5" spans="2:39" ht="23.25" customHeight="1">
      <c r="C5" s="1331" t="s">
        <v>458</v>
      </c>
      <c r="D5" s="1333" t="s">
        <v>469</v>
      </c>
      <c r="E5" s="1329" t="s">
        <v>470</v>
      </c>
      <c r="F5" s="1330"/>
    </row>
    <row r="6" spans="2:39" ht="22.5" customHeight="1">
      <c r="C6" s="1332"/>
      <c r="D6" s="1334"/>
      <c r="E6" s="896" t="s">
        <v>471</v>
      </c>
      <c r="F6" s="897" t="s">
        <v>472</v>
      </c>
    </row>
    <row r="7" spans="2:39">
      <c r="C7" s="891">
        <v>1995</v>
      </c>
      <c r="D7" s="898">
        <v>30705</v>
      </c>
      <c r="E7" s="892">
        <v>29651</v>
      </c>
      <c r="F7" s="892">
        <v>1054</v>
      </c>
    </row>
    <row r="8" spans="2:39">
      <c r="C8" s="893">
        <v>1996</v>
      </c>
      <c r="D8" s="899">
        <v>30409</v>
      </c>
      <c r="E8" s="894">
        <v>28909</v>
      </c>
      <c r="F8" s="895">
        <v>1500</v>
      </c>
    </row>
    <row r="9" spans="2:39">
      <c r="C9" s="891">
        <v>1997</v>
      </c>
      <c r="D9" s="898">
        <v>32743</v>
      </c>
      <c r="E9" s="892">
        <v>28463</v>
      </c>
      <c r="F9" s="892">
        <v>4280</v>
      </c>
    </row>
    <row r="10" spans="2:39">
      <c r="C10" s="893">
        <v>1998</v>
      </c>
      <c r="D10" s="899">
        <v>43542</v>
      </c>
      <c r="E10" s="894">
        <v>38390</v>
      </c>
      <c r="F10" s="895">
        <v>5152</v>
      </c>
    </row>
    <row r="11" spans="2:39">
      <c r="C11" s="891">
        <v>1999</v>
      </c>
      <c r="D11" s="898">
        <v>50436</v>
      </c>
      <c r="E11" s="892">
        <v>43159</v>
      </c>
      <c r="F11" s="892">
        <v>7277</v>
      </c>
    </row>
    <row r="12" spans="2:39">
      <c r="C12" s="893">
        <v>2000</v>
      </c>
      <c r="D12" s="899">
        <v>56046</v>
      </c>
      <c r="E12" s="894">
        <v>44994</v>
      </c>
      <c r="F12" s="895">
        <v>11052</v>
      </c>
    </row>
    <row r="13" spans="2:39">
      <c r="C13" s="891">
        <v>2001</v>
      </c>
      <c r="D13" s="898">
        <v>59296</v>
      </c>
      <c r="E13" s="892">
        <v>46846</v>
      </c>
      <c r="F13" s="892">
        <v>12450</v>
      </c>
    </row>
    <row r="14" spans="2:39">
      <c r="C14" s="893">
        <v>2002</v>
      </c>
      <c r="D14" s="899">
        <v>59643</v>
      </c>
      <c r="E14" s="894">
        <v>46463</v>
      </c>
      <c r="F14" s="895">
        <v>13180</v>
      </c>
    </row>
    <row r="15" spans="2:39">
      <c r="C15" s="891">
        <v>2003</v>
      </c>
      <c r="D15" s="898">
        <v>57248</v>
      </c>
      <c r="E15" s="892">
        <v>44442</v>
      </c>
      <c r="F15" s="892">
        <v>12806</v>
      </c>
    </row>
    <row r="16" spans="2:39">
      <c r="C16" s="893">
        <v>2004</v>
      </c>
      <c r="D16" s="899">
        <v>63190</v>
      </c>
      <c r="E16" s="894">
        <v>49109</v>
      </c>
      <c r="F16" s="895">
        <v>14081</v>
      </c>
    </row>
    <row r="17" spans="3:6">
      <c r="C17" s="891">
        <v>2005</v>
      </c>
      <c r="D17" s="898">
        <v>66008</v>
      </c>
      <c r="E17" s="892">
        <v>52609</v>
      </c>
      <c r="F17" s="892">
        <v>13399</v>
      </c>
    </row>
    <row r="18" spans="3:6">
      <c r="C18" s="893">
        <v>2006</v>
      </c>
      <c r="D18" s="899">
        <v>68964</v>
      </c>
      <c r="E18" s="894">
        <v>56743</v>
      </c>
      <c r="F18" s="895">
        <v>12221</v>
      </c>
    </row>
    <row r="19" spans="3:6">
      <c r="C19" s="891">
        <v>2007</v>
      </c>
      <c r="D19" s="898">
        <v>70603</v>
      </c>
      <c r="E19" s="892">
        <v>58010</v>
      </c>
      <c r="F19" s="892">
        <v>12593</v>
      </c>
    </row>
    <row r="20" spans="3:6">
      <c r="C20" s="893">
        <v>2008</v>
      </c>
      <c r="D20" s="899">
        <v>73493</v>
      </c>
      <c r="E20" s="894">
        <v>61361</v>
      </c>
      <c r="F20" s="895">
        <v>12132</v>
      </c>
    </row>
    <row r="27" spans="3:6">
      <c r="C27" s="2" t="s">
        <v>934</v>
      </c>
    </row>
    <row r="29" spans="3:6">
      <c r="C29" s="2" t="s">
        <v>935</v>
      </c>
    </row>
  </sheetData>
  <mergeCells count="4">
    <mergeCell ref="E5:F5"/>
    <mergeCell ref="C5:C6"/>
    <mergeCell ref="D5:D6"/>
    <mergeCell ref="C1:AM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B1:AM25"/>
  <sheetViews>
    <sheetView topLeftCell="U1" workbookViewId="0">
      <selection activeCell="E5" sqref="E5:Q5"/>
    </sheetView>
  </sheetViews>
  <sheetFormatPr defaultRowHeight="15"/>
  <cols>
    <col min="1" max="1" width="2.28515625" customWidth="1"/>
    <col min="2" max="2" width="5.7109375" customWidth="1"/>
    <col min="3" max="3" width="21.140625" customWidth="1"/>
    <col min="4" max="4" width="2.5703125" customWidth="1"/>
    <col min="5" max="17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186</v>
      </c>
    </row>
    <row r="5" spans="2:39" ht="25.5" customHeight="1">
      <c r="C5" s="1302" t="s">
        <v>893</v>
      </c>
      <c r="D5" s="1303"/>
      <c r="E5" s="786" t="s">
        <v>680</v>
      </c>
      <c r="F5" s="787" t="s">
        <v>714</v>
      </c>
      <c r="G5" s="787" t="s">
        <v>715</v>
      </c>
      <c r="H5" s="787" t="s">
        <v>716</v>
      </c>
      <c r="I5" s="787" t="s">
        <v>446</v>
      </c>
      <c r="J5" s="787" t="s">
        <v>447</v>
      </c>
      <c r="K5" s="787" t="s">
        <v>448</v>
      </c>
      <c r="L5" s="787" t="s">
        <v>449</v>
      </c>
      <c r="M5" s="787" t="s">
        <v>450</v>
      </c>
      <c r="N5" s="787" t="s">
        <v>451</v>
      </c>
      <c r="O5" s="787" t="s">
        <v>452</v>
      </c>
      <c r="P5" s="787" t="s">
        <v>453</v>
      </c>
      <c r="Q5" s="788" t="s">
        <v>454</v>
      </c>
    </row>
    <row r="6" spans="2:39" ht="4.5" customHeight="1">
      <c r="C6" s="829"/>
      <c r="D6" s="829"/>
      <c r="E6" s="830"/>
      <c r="F6" s="830"/>
      <c r="G6" s="830"/>
      <c r="H6" s="830"/>
      <c r="I6" s="830"/>
      <c r="J6" s="830"/>
      <c r="K6" s="830"/>
      <c r="L6" s="790"/>
      <c r="M6" s="790"/>
      <c r="N6" s="790"/>
      <c r="O6" s="790"/>
      <c r="P6" s="790"/>
      <c r="Q6" s="790"/>
    </row>
    <row r="7" spans="2:39" ht="17.25" customHeight="1">
      <c r="C7" s="1304" t="s">
        <v>894</v>
      </c>
      <c r="D7" s="1305"/>
      <c r="E7" s="831">
        <v>24658</v>
      </c>
      <c r="F7" s="831">
        <v>26576</v>
      </c>
      <c r="G7" s="831">
        <v>27903</v>
      </c>
      <c r="H7" s="831">
        <v>30109</v>
      </c>
      <c r="I7" s="831">
        <v>32401</v>
      </c>
      <c r="J7" s="831">
        <v>38617</v>
      </c>
      <c r="K7" s="831">
        <v>42200</v>
      </c>
      <c r="L7" s="831">
        <v>46499</v>
      </c>
      <c r="M7" s="831">
        <v>46854</v>
      </c>
      <c r="N7" s="831">
        <v>49184</v>
      </c>
      <c r="O7" s="831">
        <v>50518</v>
      </c>
      <c r="P7" s="831">
        <v>62063</v>
      </c>
      <c r="Q7" s="832">
        <v>64469</v>
      </c>
    </row>
    <row r="8" spans="2:39" ht="17.25" customHeight="1">
      <c r="C8" s="833" t="s">
        <v>895</v>
      </c>
      <c r="D8" s="834" t="s">
        <v>896</v>
      </c>
      <c r="E8" s="835">
        <v>15869</v>
      </c>
      <c r="F8" s="835">
        <v>16996</v>
      </c>
      <c r="G8" s="835">
        <v>17787</v>
      </c>
      <c r="H8" s="835">
        <v>17785</v>
      </c>
      <c r="I8" s="835">
        <v>18159</v>
      </c>
      <c r="J8" s="835">
        <v>19466</v>
      </c>
      <c r="K8" s="835">
        <v>21890</v>
      </c>
      <c r="L8" s="835">
        <v>24462</v>
      </c>
      <c r="M8" s="835">
        <v>24614</v>
      </c>
      <c r="N8" s="835">
        <v>25283</v>
      </c>
      <c r="O8" s="835">
        <v>27376</v>
      </c>
      <c r="P8" s="835">
        <v>34497</v>
      </c>
      <c r="Q8" s="835">
        <v>37366</v>
      </c>
    </row>
    <row r="9" spans="2:39" ht="17.25" customHeight="1">
      <c r="C9" s="836" t="s">
        <v>897</v>
      </c>
      <c r="D9" s="837" t="s">
        <v>898</v>
      </c>
      <c r="E9" s="838">
        <v>8789</v>
      </c>
      <c r="F9" s="838">
        <v>9580</v>
      </c>
      <c r="G9" s="838">
        <v>10116</v>
      </c>
      <c r="H9" s="838">
        <v>12324</v>
      </c>
      <c r="I9" s="838">
        <v>14242</v>
      </c>
      <c r="J9" s="838">
        <v>19151</v>
      </c>
      <c r="K9" s="838">
        <v>20310</v>
      </c>
      <c r="L9" s="838">
        <v>22037</v>
      </c>
      <c r="M9" s="838">
        <v>22240</v>
      </c>
      <c r="N9" s="838">
        <v>23901</v>
      </c>
      <c r="O9" s="838">
        <v>23142</v>
      </c>
      <c r="P9" s="838">
        <v>27566</v>
      </c>
      <c r="Q9" s="838">
        <v>27103</v>
      </c>
    </row>
    <row r="10" spans="2:39" ht="4.5" customHeight="1">
      <c r="C10" s="839"/>
      <c r="D10" s="840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</row>
    <row r="11" spans="2:39" ht="17.25" customHeight="1">
      <c r="C11" s="1304" t="s">
        <v>899</v>
      </c>
      <c r="D11" s="1306"/>
      <c r="E11" s="831">
        <v>14558</v>
      </c>
      <c r="F11" s="831">
        <v>16220</v>
      </c>
      <c r="G11" s="831">
        <v>18575</v>
      </c>
      <c r="H11" s="831">
        <v>21227</v>
      </c>
      <c r="I11" s="831">
        <v>21854</v>
      </c>
      <c r="J11" s="831">
        <v>22523</v>
      </c>
      <c r="K11" s="831">
        <v>21898</v>
      </c>
      <c r="L11" s="831">
        <v>22012</v>
      </c>
      <c r="M11" s="831">
        <v>21814</v>
      </c>
      <c r="N11" s="831">
        <v>20803</v>
      </c>
      <c r="O11" s="831">
        <v>21310</v>
      </c>
      <c r="P11" s="831">
        <v>21213</v>
      </c>
      <c r="Q11" s="832">
        <v>19540</v>
      </c>
    </row>
    <row r="12" spans="2:39" ht="17.25" customHeight="1">
      <c r="C12" s="833" t="s">
        <v>895</v>
      </c>
      <c r="D12" s="834" t="s">
        <v>896</v>
      </c>
      <c r="E12" s="835">
        <v>9806</v>
      </c>
      <c r="F12" s="835">
        <v>10775</v>
      </c>
      <c r="G12" s="835">
        <v>11825</v>
      </c>
      <c r="H12" s="835">
        <v>12571</v>
      </c>
      <c r="I12" s="835">
        <v>12339</v>
      </c>
      <c r="J12" s="835">
        <v>12484</v>
      </c>
      <c r="K12" s="835">
        <v>11481</v>
      </c>
      <c r="L12" s="835">
        <v>11036</v>
      </c>
      <c r="M12" s="835">
        <v>11679</v>
      </c>
      <c r="N12" s="835">
        <v>11172</v>
      </c>
      <c r="O12" s="835">
        <v>11165</v>
      </c>
      <c r="P12" s="835">
        <v>11758</v>
      </c>
      <c r="Q12" s="835">
        <v>10458</v>
      </c>
    </row>
    <row r="13" spans="2:39" ht="17.25" customHeight="1">
      <c r="C13" s="836" t="s">
        <v>897</v>
      </c>
      <c r="D13" s="837" t="s">
        <v>898</v>
      </c>
      <c r="E13" s="838">
        <v>4752</v>
      </c>
      <c r="F13" s="838">
        <v>5445</v>
      </c>
      <c r="G13" s="838">
        <v>6750</v>
      </c>
      <c r="H13" s="838">
        <v>8656</v>
      </c>
      <c r="I13" s="838">
        <v>9515</v>
      </c>
      <c r="J13" s="838">
        <v>10039</v>
      </c>
      <c r="K13" s="838">
        <v>10417</v>
      </c>
      <c r="L13" s="838">
        <v>10976</v>
      </c>
      <c r="M13" s="838">
        <v>10135</v>
      </c>
      <c r="N13" s="838">
        <v>9631</v>
      </c>
      <c r="O13" s="838">
        <v>10145</v>
      </c>
      <c r="P13" s="838">
        <v>9455</v>
      </c>
      <c r="Q13" s="838">
        <v>9082</v>
      </c>
    </row>
    <row r="14" spans="2:39" ht="6" customHeight="1">
      <c r="C14" s="839"/>
      <c r="D14" s="840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P14" s="841"/>
      <c r="Q14" s="841"/>
    </row>
    <row r="15" spans="2:39" ht="18" customHeight="1">
      <c r="C15" s="1307" t="s">
        <v>732</v>
      </c>
      <c r="D15" s="1308"/>
      <c r="E15" s="843">
        <v>39216</v>
      </c>
      <c r="F15" s="843">
        <v>42796</v>
      </c>
      <c r="G15" s="843">
        <v>46478</v>
      </c>
      <c r="H15" s="843">
        <v>51336</v>
      </c>
      <c r="I15" s="843">
        <v>54255</v>
      </c>
      <c r="J15" s="843">
        <v>61140</v>
      </c>
      <c r="K15" s="843">
        <v>64098</v>
      </c>
      <c r="L15" s="843">
        <v>68511</v>
      </c>
      <c r="M15" s="843">
        <v>68668</v>
      </c>
      <c r="N15" s="843">
        <v>69987</v>
      </c>
      <c r="O15" s="843">
        <v>71828</v>
      </c>
      <c r="P15" s="843">
        <v>83276</v>
      </c>
      <c r="Q15" s="844">
        <v>84009</v>
      </c>
    </row>
    <row r="19" spans="3:17">
      <c r="C19" s="107" t="s">
        <v>428</v>
      </c>
    </row>
    <row r="20" spans="3:17" ht="30" customHeight="1">
      <c r="C20" s="1335" t="s">
        <v>900</v>
      </c>
      <c r="D20" s="1336"/>
      <c r="E20" s="1336"/>
      <c r="F20" s="1336"/>
      <c r="G20" s="1336"/>
      <c r="H20" s="1336"/>
      <c r="I20" s="1336"/>
      <c r="J20" s="1336"/>
      <c r="K20" s="1336"/>
      <c r="L20" s="1336"/>
      <c r="M20" s="1336"/>
      <c r="N20" s="1336"/>
      <c r="O20" s="1336"/>
      <c r="P20" s="1336"/>
      <c r="Q20" s="1336"/>
    </row>
    <row r="21" spans="3:17">
      <c r="C21" s="845" t="s">
        <v>901</v>
      </c>
    </row>
    <row r="22" spans="3:17">
      <c r="C22" s="845" t="s">
        <v>902</v>
      </c>
    </row>
    <row r="24" spans="3:17">
      <c r="C24" s="2" t="s">
        <v>903</v>
      </c>
    </row>
    <row r="25" spans="3:17">
      <c r="C25" s="453"/>
    </row>
  </sheetData>
  <mergeCells count="6">
    <mergeCell ref="C1:AM1"/>
    <mergeCell ref="C20:Q20"/>
    <mergeCell ref="C5:D5"/>
    <mergeCell ref="C7:D7"/>
    <mergeCell ref="C11:D11"/>
    <mergeCell ref="C15:D15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B1:AM22"/>
  <sheetViews>
    <sheetView topLeftCell="U1" workbookViewId="0">
      <selection activeCell="D5" sqref="D5:P5"/>
    </sheetView>
  </sheetViews>
  <sheetFormatPr defaultRowHeight="15"/>
  <cols>
    <col min="1" max="1" width="2.28515625" customWidth="1"/>
    <col min="2" max="2" width="5.7109375" customWidth="1"/>
    <col min="3" max="3" width="44.42578125" customWidth="1"/>
    <col min="4" max="16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188</v>
      </c>
    </row>
    <row r="5" spans="2:39" ht="22.5" customHeight="1">
      <c r="C5" s="770" t="s">
        <v>936</v>
      </c>
      <c r="D5" s="786" t="s">
        <v>680</v>
      </c>
      <c r="E5" s="787" t="s">
        <v>714</v>
      </c>
      <c r="F5" s="787" t="s">
        <v>715</v>
      </c>
      <c r="G5" s="787" t="s">
        <v>716</v>
      </c>
      <c r="H5" s="787" t="s">
        <v>446</v>
      </c>
      <c r="I5" s="787" t="s">
        <v>447</v>
      </c>
      <c r="J5" s="787" t="s">
        <v>448</v>
      </c>
      <c r="K5" s="787" t="s">
        <v>449</v>
      </c>
      <c r="L5" s="787" t="s">
        <v>450</v>
      </c>
      <c r="M5" s="787" t="s">
        <v>451</v>
      </c>
      <c r="N5" s="787" t="s">
        <v>452</v>
      </c>
      <c r="O5" s="787" t="s">
        <v>453</v>
      </c>
      <c r="P5" s="788" t="s">
        <v>454</v>
      </c>
    </row>
    <row r="6" spans="2:39" ht="17.25" customHeight="1">
      <c r="C6" s="900" t="s">
        <v>937</v>
      </c>
      <c r="D6" s="810">
        <v>6146</v>
      </c>
      <c r="E6" s="810">
        <v>6452</v>
      </c>
      <c r="F6" s="810">
        <v>6665</v>
      </c>
      <c r="G6" s="810">
        <v>8294</v>
      </c>
      <c r="H6" s="810">
        <v>9611</v>
      </c>
      <c r="I6" s="810">
        <v>12054</v>
      </c>
      <c r="J6" s="810">
        <v>14100</v>
      </c>
      <c r="K6" s="810">
        <v>14999</v>
      </c>
      <c r="L6" s="810">
        <v>12156</v>
      </c>
      <c r="M6" s="810">
        <v>10250</v>
      </c>
      <c r="N6" s="810">
        <v>8939</v>
      </c>
      <c r="O6" s="810">
        <v>7260</v>
      </c>
      <c r="P6" s="810">
        <v>5398</v>
      </c>
    </row>
    <row r="7" spans="2:39" ht="17.25" customHeight="1">
      <c r="C7" s="900" t="s">
        <v>926</v>
      </c>
      <c r="D7" s="810">
        <v>4268</v>
      </c>
      <c r="E7" s="810">
        <v>4244</v>
      </c>
      <c r="F7" s="810">
        <v>4680</v>
      </c>
      <c r="G7" s="810">
        <v>4727</v>
      </c>
      <c r="H7" s="810">
        <v>4846</v>
      </c>
      <c r="I7" s="810">
        <v>4859</v>
      </c>
      <c r="J7" s="810">
        <v>5322</v>
      </c>
      <c r="K7" s="810">
        <v>5704</v>
      </c>
      <c r="L7" s="810">
        <v>6037</v>
      </c>
      <c r="M7" s="810">
        <v>6144</v>
      </c>
      <c r="N7" s="810">
        <v>6135</v>
      </c>
      <c r="O7" s="810">
        <v>7106</v>
      </c>
      <c r="P7" s="810">
        <v>7474</v>
      </c>
    </row>
    <row r="8" spans="2:39" ht="17.25" customHeight="1">
      <c r="C8" s="900" t="s">
        <v>927</v>
      </c>
      <c r="D8" s="810">
        <v>15301</v>
      </c>
      <c r="E8" s="810">
        <v>16554</v>
      </c>
      <c r="F8" s="810">
        <v>18112</v>
      </c>
      <c r="G8" s="810">
        <v>19923</v>
      </c>
      <c r="H8" s="810">
        <v>19009</v>
      </c>
      <c r="I8" s="810">
        <v>19477</v>
      </c>
      <c r="J8" s="810">
        <v>18278</v>
      </c>
      <c r="K8" s="810">
        <v>19206</v>
      </c>
      <c r="L8" s="810">
        <v>19658</v>
      </c>
      <c r="M8" s="810">
        <v>19615</v>
      </c>
      <c r="N8" s="810">
        <v>20919</v>
      </c>
      <c r="O8" s="810">
        <v>25122</v>
      </c>
      <c r="P8" s="810">
        <v>23525</v>
      </c>
    </row>
    <row r="9" spans="2:39" ht="17.25" customHeight="1">
      <c r="C9" s="900" t="s">
        <v>928</v>
      </c>
      <c r="D9" s="810">
        <v>2620</v>
      </c>
      <c r="E9" s="810">
        <v>2841</v>
      </c>
      <c r="F9" s="810">
        <v>3138</v>
      </c>
      <c r="G9" s="810">
        <v>3019</v>
      </c>
      <c r="H9" s="810">
        <v>3220</v>
      </c>
      <c r="I9" s="810">
        <v>3424</v>
      </c>
      <c r="J9" s="810">
        <v>3829</v>
      </c>
      <c r="K9" s="810">
        <v>4206</v>
      </c>
      <c r="L9" s="810">
        <v>4458</v>
      </c>
      <c r="M9" s="810">
        <v>4694</v>
      </c>
      <c r="N9" s="810">
        <v>4314</v>
      </c>
      <c r="O9" s="810">
        <v>5308</v>
      </c>
      <c r="P9" s="810">
        <v>6294</v>
      </c>
    </row>
    <row r="10" spans="2:39" ht="17.25" customHeight="1">
      <c r="C10" s="900" t="s">
        <v>929</v>
      </c>
      <c r="D10" s="810">
        <v>4612</v>
      </c>
      <c r="E10" s="810">
        <v>5378</v>
      </c>
      <c r="F10" s="810">
        <v>6155</v>
      </c>
      <c r="G10" s="810">
        <v>6790</v>
      </c>
      <c r="H10" s="810">
        <v>6979</v>
      </c>
      <c r="I10" s="810">
        <v>7143</v>
      </c>
      <c r="J10" s="810">
        <v>8278</v>
      </c>
      <c r="K10" s="810">
        <v>8939</v>
      </c>
      <c r="L10" s="810">
        <v>9558</v>
      </c>
      <c r="M10" s="810">
        <v>10021</v>
      </c>
      <c r="N10" s="810">
        <v>10189</v>
      </c>
      <c r="O10" s="810">
        <v>15658</v>
      </c>
      <c r="P10" s="810">
        <v>17037</v>
      </c>
    </row>
    <row r="11" spans="2:39" ht="17.25" customHeight="1">
      <c r="C11" s="900" t="s">
        <v>930</v>
      </c>
      <c r="D11" s="810">
        <v>852</v>
      </c>
      <c r="E11" s="810">
        <v>987</v>
      </c>
      <c r="F11" s="810">
        <v>1223</v>
      </c>
      <c r="G11" s="810">
        <v>1187</v>
      </c>
      <c r="H11" s="810">
        <v>1217</v>
      </c>
      <c r="I11" s="810">
        <v>1389</v>
      </c>
      <c r="J11" s="810">
        <v>1333</v>
      </c>
      <c r="K11" s="810">
        <v>1401</v>
      </c>
      <c r="L11" s="810">
        <v>1331</v>
      </c>
      <c r="M11" s="810">
        <v>1359</v>
      </c>
      <c r="N11" s="810">
        <v>1228</v>
      </c>
      <c r="O11" s="810">
        <v>1419</v>
      </c>
      <c r="P11" s="810">
        <v>2046</v>
      </c>
    </row>
    <row r="12" spans="2:39" ht="17.25" customHeight="1">
      <c r="C12" s="900" t="s">
        <v>931</v>
      </c>
      <c r="D12" s="810">
        <v>4015</v>
      </c>
      <c r="E12" s="810">
        <v>4822</v>
      </c>
      <c r="F12" s="810">
        <v>4429</v>
      </c>
      <c r="G12" s="810">
        <v>5094</v>
      </c>
      <c r="H12" s="810">
        <v>6938</v>
      </c>
      <c r="I12" s="810">
        <v>10192</v>
      </c>
      <c r="J12" s="810">
        <v>9855</v>
      </c>
      <c r="K12" s="810">
        <v>10575</v>
      </c>
      <c r="L12" s="810">
        <v>11643</v>
      </c>
      <c r="M12" s="810">
        <v>13492</v>
      </c>
      <c r="N12" s="810">
        <v>15662</v>
      </c>
      <c r="O12" s="810">
        <v>16583</v>
      </c>
      <c r="P12" s="810">
        <v>17398</v>
      </c>
    </row>
    <row r="13" spans="2:39" ht="17.25" customHeight="1">
      <c r="C13" s="901" t="s">
        <v>932</v>
      </c>
      <c r="D13" s="828">
        <v>1402</v>
      </c>
      <c r="E13" s="828">
        <v>1518</v>
      </c>
      <c r="F13" s="828">
        <v>2076</v>
      </c>
      <c r="G13" s="828">
        <v>2302</v>
      </c>
      <c r="H13" s="828">
        <v>2435</v>
      </c>
      <c r="I13" s="828">
        <v>2602</v>
      </c>
      <c r="J13" s="828">
        <v>3103</v>
      </c>
      <c r="K13" s="828">
        <v>3481</v>
      </c>
      <c r="L13" s="828">
        <v>3827</v>
      </c>
      <c r="M13" s="828">
        <v>4412</v>
      </c>
      <c r="N13" s="828">
        <v>4442</v>
      </c>
      <c r="O13" s="828">
        <v>4820</v>
      </c>
      <c r="P13" s="828">
        <v>4837</v>
      </c>
    </row>
    <row r="14" spans="2:39" ht="6" customHeight="1">
      <c r="C14" s="887"/>
      <c r="D14" s="902"/>
      <c r="E14" s="902"/>
      <c r="F14" s="902"/>
      <c r="G14" s="902"/>
      <c r="H14" s="902"/>
      <c r="I14" s="902"/>
      <c r="J14" s="902"/>
      <c r="K14" s="902"/>
      <c r="L14" s="902"/>
      <c r="M14" s="902"/>
      <c r="N14" s="902"/>
      <c r="O14" s="902"/>
      <c r="P14" s="902"/>
    </row>
    <row r="15" spans="2:39" ht="18" customHeight="1">
      <c r="C15" s="903" t="s">
        <v>732</v>
      </c>
      <c r="D15" s="904">
        <v>39216</v>
      </c>
      <c r="E15" s="904">
        <v>42796</v>
      </c>
      <c r="F15" s="904">
        <v>46478</v>
      </c>
      <c r="G15" s="904">
        <v>51336</v>
      </c>
      <c r="H15" s="904">
        <v>54255</v>
      </c>
      <c r="I15" s="904">
        <v>61140</v>
      </c>
      <c r="J15" s="904">
        <v>64098</v>
      </c>
      <c r="K15" s="904">
        <v>68511</v>
      </c>
      <c r="L15" s="904">
        <v>68668</v>
      </c>
      <c r="M15" s="904">
        <v>69987</v>
      </c>
      <c r="N15" s="904">
        <v>71828</v>
      </c>
      <c r="O15" s="904">
        <v>83276</v>
      </c>
      <c r="P15" s="905">
        <v>84009</v>
      </c>
    </row>
    <row r="19" spans="3:3">
      <c r="C19" s="90" t="s">
        <v>939</v>
      </c>
    </row>
    <row r="20" spans="3:3">
      <c r="C20" s="906" t="s">
        <v>938</v>
      </c>
    </row>
    <row r="22" spans="3:3">
      <c r="C22" s="2" t="s">
        <v>903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B1:AM12"/>
  <sheetViews>
    <sheetView topLeftCell="U1" workbookViewId="0">
      <selection activeCell="E22" sqref="E22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16" width="10.7109375" customWidth="1"/>
  </cols>
  <sheetData>
    <row r="1" spans="2:39">
      <c r="B1" s="28"/>
      <c r="C1" s="1291" t="s">
        <v>157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190</v>
      </c>
    </row>
    <row r="5" spans="2:39" ht="21.75" customHeight="1">
      <c r="C5" s="907" t="s">
        <v>668</v>
      </c>
      <c r="D5" s="786" t="s">
        <v>680</v>
      </c>
      <c r="E5" s="787" t="s">
        <v>714</v>
      </c>
      <c r="F5" s="787" t="s">
        <v>715</v>
      </c>
      <c r="G5" s="787" t="s">
        <v>716</v>
      </c>
      <c r="H5" s="787" t="s">
        <v>446</v>
      </c>
      <c r="I5" s="787" t="s">
        <v>447</v>
      </c>
      <c r="J5" s="787" t="s">
        <v>448</v>
      </c>
      <c r="K5" s="787" t="s">
        <v>449</v>
      </c>
      <c r="L5" s="787" t="s">
        <v>450</v>
      </c>
      <c r="M5" s="787" t="s">
        <v>451</v>
      </c>
      <c r="N5" s="787" t="s">
        <v>452</v>
      </c>
      <c r="O5" s="787" t="s">
        <v>453</v>
      </c>
      <c r="P5" s="788" t="s">
        <v>454</v>
      </c>
    </row>
    <row r="6" spans="2:39" ht="17.25" customHeight="1">
      <c r="C6" s="758" t="s">
        <v>307</v>
      </c>
      <c r="D6" s="810">
        <v>13987</v>
      </c>
      <c r="E6" s="810">
        <v>15492</v>
      </c>
      <c r="F6" s="810">
        <v>16808</v>
      </c>
      <c r="G6" s="810">
        <v>18349</v>
      </c>
      <c r="H6" s="810">
        <v>18658</v>
      </c>
      <c r="I6" s="810">
        <v>20092</v>
      </c>
      <c r="J6" s="810">
        <v>21051</v>
      </c>
      <c r="K6" s="810">
        <v>22491</v>
      </c>
      <c r="L6" s="810">
        <v>23448</v>
      </c>
      <c r="M6" s="810">
        <v>24345</v>
      </c>
      <c r="N6" s="810">
        <v>24840</v>
      </c>
      <c r="O6" s="810">
        <v>32130</v>
      </c>
      <c r="P6" s="810">
        <v>33900</v>
      </c>
    </row>
    <row r="7" spans="2:39" ht="17.25" customHeight="1">
      <c r="C7" s="758" t="s">
        <v>308</v>
      </c>
      <c r="D7" s="810">
        <v>25229</v>
      </c>
      <c r="E7" s="810">
        <v>27304</v>
      </c>
      <c r="F7" s="810">
        <v>29670</v>
      </c>
      <c r="G7" s="810">
        <v>32987</v>
      </c>
      <c r="H7" s="810">
        <v>35597</v>
      </c>
      <c r="I7" s="810">
        <v>41048</v>
      </c>
      <c r="J7" s="810">
        <v>43047</v>
      </c>
      <c r="K7" s="810">
        <v>46020</v>
      </c>
      <c r="L7" s="810">
        <v>45220</v>
      </c>
      <c r="M7" s="810">
        <v>45642</v>
      </c>
      <c r="N7" s="810">
        <v>46988</v>
      </c>
      <c r="O7" s="810">
        <v>51146</v>
      </c>
      <c r="P7" s="810">
        <v>50109</v>
      </c>
    </row>
    <row r="8" spans="2:39" ht="18.75" customHeight="1">
      <c r="C8" s="908" t="s">
        <v>732</v>
      </c>
      <c r="D8" s="909">
        <v>39216</v>
      </c>
      <c r="E8" s="909">
        <v>42796</v>
      </c>
      <c r="F8" s="909">
        <v>46478</v>
      </c>
      <c r="G8" s="909">
        <v>51336</v>
      </c>
      <c r="H8" s="909">
        <v>54255</v>
      </c>
      <c r="I8" s="909">
        <v>61140</v>
      </c>
      <c r="J8" s="909">
        <v>64098</v>
      </c>
      <c r="K8" s="909">
        <v>68511</v>
      </c>
      <c r="L8" s="909">
        <v>68668</v>
      </c>
      <c r="M8" s="909">
        <v>69987</v>
      </c>
      <c r="N8" s="909">
        <v>71828</v>
      </c>
      <c r="O8" s="909">
        <v>83276</v>
      </c>
      <c r="P8" s="910">
        <v>84009</v>
      </c>
    </row>
    <row r="12" spans="2:39">
      <c r="C12" s="2" t="s">
        <v>903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B1:AM22"/>
  <sheetViews>
    <sheetView topLeftCell="U1" workbookViewId="0">
      <selection activeCell="C22" sqref="C22"/>
    </sheetView>
  </sheetViews>
  <sheetFormatPr defaultRowHeight="15"/>
  <cols>
    <col min="1" max="1" width="2.28515625" customWidth="1"/>
    <col min="2" max="2" width="5.7109375" customWidth="1"/>
    <col min="3" max="3" width="20.7109375" customWidth="1"/>
    <col min="4" max="7" width="13.42578125" customWidth="1"/>
    <col min="8" max="8" width="0.5703125" customWidth="1"/>
    <col min="9" max="12" width="13.425781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210</v>
      </c>
    </row>
    <row r="5" spans="2:39">
      <c r="C5" s="453"/>
      <c r="D5" s="1338" t="s">
        <v>471</v>
      </c>
      <c r="E5" s="1338"/>
      <c r="F5" s="1338"/>
      <c r="G5" s="1338"/>
      <c r="H5" s="453"/>
      <c r="I5" s="1338" t="s">
        <v>472</v>
      </c>
      <c r="J5" s="1338"/>
      <c r="K5" s="1338"/>
      <c r="L5" s="1338"/>
    </row>
    <row r="6" spans="2:39" ht="19.5" customHeight="1">
      <c r="C6" s="911" t="s">
        <v>940</v>
      </c>
      <c r="D6" s="1339" t="s">
        <v>469</v>
      </c>
      <c r="E6" s="1339" t="s">
        <v>941</v>
      </c>
      <c r="F6" s="1339" t="s">
        <v>942</v>
      </c>
      <c r="G6" s="1339" t="s">
        <v>943</v>
      </c>
      <c r="H6" s="66"/>
      <c r="I6" s="1339" t="s">
        <v>469</v>
      </c>
      <c r="J6" s="1339" t="s">
        <v>941</v>
      </c>
      <c r="K6" s="1339" t="s">
        <v>944</v>
      </c>
      <c r="L6" s="1341" t="s">
        <v>943</v>
      </c>
    </row>
    <row r="7" spans="2:39">
      <c r="C7" s="912" t="s">
        <v>441</v>
      </c>
      <c r="D7" s="1340"/>
      <c r="E7" s="1340"/>
      <c r="F7" s="1340"/>
      <c r="G7" s="1340"/>
      <c r="H7" s="66"/>
      <c r="I7" s="1340"/>
      <c r="J7" s="1340"/>
      <c r="K7" s="1340"/>
      <c r="L7" s="1342"/>
    </row>
    <row r="8" spans="2:39" ht="4.5" customHeight="1">
      <c r="C8" s="913"/>
      <c r="D8" s="914"/>
      <c r="E8" s="914"/>
      <c r="F8" s="914"/>
      <c r="G8" s="914"/>
      <c r="H8" s="66"/>
      <c r="I8" s="914"/>
      <c r="J8" s="914"/>
      <c r="K8" s="914"/>
      <c r="L8" s="914"/>
    </row>
    <row r="9" spans="2:39" ht="18" customHeight="1">
      <c r="C9" s="915" t="s">
        <v>716</v>
      </c>
      <c r="D9" s="916">
        <v>6620</v>
      </c>
      <c r="E9" s="537">
        <v>24</v>
      </c>
      <c r="F9" s="917">
        <v>1282</v>
      </c>
      <c r="G9" s="538">
        <v>5314</v>
      </c>
      <c r="H9" s="481"/>
      <c r="I9" s="536">
        <v>6434</v>
      </c>
      <c r="J9" s="537">
        <v>15</v>
      </c>
      <c r="K9" s="917">
        <v>1295</v>
      </c>
      <c r="L9" s="538">
        <v>5124</v>
      </c>
    </row>
    <row r="10" spans="2:39" ht="18" customHeight="1">
      <c r="C10" s="918" t="s">
        <v>446</v>
      </c>
      <c r="D10" s="919">
        <v>7521</v>
      </c>
      <c r="E10" s="920">
        <v>27</v>
      </c>
      <c r="F10" s="921">
        <v>1478</v>
      </c>
      <c r="G10" s="920">
        <v>6016</v>
      </c>
      <c r="H10" s="922"/>
      <c r="I10" s="919">
        <v>6631</v>
      </c>
      <c r="J10" s="920">
        <v>16</v>
      </c>
      <c r="K10" s="921">
        <v>1320</v>
      </c>
      <c r="L10" s="920">
        <v>5295</v>
      </c>
    </row>
    <row r="11" spans="2:39" ht="18" customHeight="1">
      <c r="C11" s="915" t="s">
        <v>447</v>
      </c>
      <c r="D11" s="916">
        <v>7616</v>
      </c>
      <c r="E11" s="537">
        <v>39</v>
      </c>
      <c r="F11" s="917">
        <v>2429</v>
      </c>
      <c r="G11" s="538">
        <v>5148</v>
      </c>
      <c r="H11" s="481"/>
      <c r="I11" s="536">
        <v>7088</v>
      </c>
      <c r="J11" s="537">
        <v>37</v>
      </c>
      <c r="K11" s="917">
        <v>2408</v>
      </c>
      <c r="L11" s="538">
        <v>4643</v>
      </c>
    </row>
    <row r="12" spans="2:39" ht="18" customHeight="1">
      <c r="C12" s="918" t="s">
        <v>448</v>
      </c>
      <c r="D12" s="919">
        <v>7737</v>
      </c>
      <c r="E12" s="920">
        <v>38</v>
      </c>
      <c r="F12" s="921">
        <v>3282</v>
      </c>
      <c r="G12" s="920">
        <v>4417</v>
      </c>
      <c r="H12" s="922"/>
      <c r="I12" s="919">
        <v>7040</v>
      </c>
      <c r="J12" s="920">
        <v>19</v>
      </c>
      <c r="K12" s="921">
        <v>2940</v>
      </c>
      <c r="L12" s="920">
        <v>4081</v>
      </c>
    </row>
    <row r="13" spans="2:39" ht="18" customHeight="1">
      <c r="C13" s="915" t="s">
        <v>449</v>
      </c>
      <c r="D13" s="916">
        <v>8245</v>
      </c>
      <c r="E13" s="537">
        <v>58</v>
      </c>
      <c r="F13" s="917">
        <v>4642</v>
      </c>
      <c r="G13" s="538">
        <v>3545</v>
      </c>
      <c r="H13" s="481"/>
      <c r="I13" s="536">
        <v>7169</v>
      </c>
      <c r="J13" s="537">
        <v>43</v>
      </c>
      <c r="K13" s="917">
        <v>3697</v>
      </c>
      <c r="L13" s="538">
        <v>3429</v>
      </c>
    </row>
    <row r="14" spans="2:39" ht="18" customHeight="1">
      <c r="C14" s="918" t="s">
        <v>450</v>
      </c>
      <c r="D14" s="919">
        <v>8517</v>
      </c>
      <c r="E14" s="920">
        <v>80</v>
      </c>
      <c r="F14" s="921">
        <v>5779</v>
      </c>
      <c r="G14" s="920">
        <v>2658</v>
      </c>
      <c r="H14" s="922"/>
      <c r="I14" s="919">
        <v>6877</v>
      </c>
      <c r="J14" s="920">
        <v>41</v>
      </c>
      <c r="K14" s="921">
        <v>4418</v>
      </c>
      <c r="L14" s="920">
        <v>2418</v>
      </c>
    </row>
    <row r="15" spans="2:39" ht="18" customHeight="1">
      <c r="C15" s="915" t="s">
        <v>451</v>
      </c>
      <c r="D15" s="916">
        <v>9277</v>
      </c>
      <c r="E15" s="537">
        <v>132</v>
      </c>
      <c r="F15" s="917">
        <v>7178</v>
      </c>
      <c r="G15" s="538">
        <v>1967</v>
      </c>
      <c r="H15" s="481"/>
      <c r="I15" s="536">
        <v>6990</v>
      </c>
      <c r="J15" s="537">
        <v>56</v>
      </c>
      <c r="K15" s="917">
        <v>5100</v>
      </c>
      <c r="L15" s="538">
        <v>1834</v>
      </c>
    </row>
    <row r="16" spans="2:39" ht="18" customHeight="1">
      <c r="C16" s="923" t="s">
        <v>452</v>
      </c>
      <c r="D16" s="919">
        <v>9527</v>
      </c>
      <c r="E16" s="920">
        <v>117</v>
      </c>
      <c r="F16" s="921">
        <v>7484</v>
      </c>
      <c r="G16" s="920">
        <v>1926</v>
      </c>
      <c r="H16" s="922"/>
      <c r="I16" s="919">
        <v>7075</v>
      </c>
      <c r="J16" s="920">
        <v>56</v>
      </c>
      <c r="K16" s="921">
        <v>5428</v>
      </c>
      <c r="L16" s="920">
        <v>1591</v>
      </c>
    </row>
    <row r="17" spans="3:12" ht="18" customHeight="1">
      <c r="C17" s="915" t="s">
        <v>453</v>
      </c>
      <c r="D17" s="916">
        <v>9793</v>
      </c>
      <c r="E17" s="537">
        <v>150</v>
      </c>
      <c r="F17" s="917">
        <v>7839</v>
      </c>
      <c r="G17" s="538">
        <v>1814</v>
      </c>
      <c r="H17" s="481"/>
      <c r="I17" s="536">
        <v>7178</v>
      </c>
      <c r="J17" s="537">
        <v>57</v>
      </c>
      <c r="K17" s="917">
        <v>5476</v>
      </c>
      <c r="L17" s="538">
        <v>1381</v>
      </c>
    </row>
    <row r="18" spans="3:12" ht="18" customHeight="1">
      <c r="C18" s="924" t="s">
        <v>454</v>
      </c>
      <c r="D18" s="925">
        <v>9106</v>
      </c>
      <c r="E18" s="926">
        <v>163</v>
      </c>
      <c r="F18" s="927">
        <v>7453</v>
      </c>
      <c r="G18" s="926">
        <v>1490</v>
      </c>
      <c r="H18" s="922"/>
      <c r="I18" s="925">
        <v>6866</v>
      </c>
      <c r="J18" s="926">
        <v>64</v>
      </c>
      <c r="K18" s="927">
        <v>5538</v>
      </c>
      <c r="L18" s="926">
        <v>1264</v>
      </c>
    </row>
    <row r="22" spans="3:12">
      <c r="C22" s="2" t="s">
        <v>945</v>
      </c>
    </row>
  </sheetData>
  <mergeCells count="11">
    <mergeCell ref="C1:AM1"/>
    <mergeCell ref="D5:G5"/>
    <mergeCell ref="I5:L5"/>
    <mergeCell ref="D6:D7"/>
    <mergeCell ref="E6:E7"/>
    <mergeCell ref="F6:F7"/>
    <mergeCell ref="G6:G7"/>
    <mergeCell ref="I6:I7"/>
    <mergeCell ref="J6:J7"/>
    <mergeCell ref="K6:K7"/>
    <mergeCell ref="L6:L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M55"/>
  <sheetViews>
    <sheetView workbookViewId="0"/>
  </sheetViews>
  <sheetFormatPr defaultRowHeight="15"/>
  <cols>
    <col min="1" max="1" width="2.28515625" customWidth="1"/>
    <col min="2" max="2" width="5.7109375" customWidth="1"/>
    <col min="3" max="3" width="40.42578125" customWidth="1"/>
    <col min="4" max="5" width="12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15</v>
      </c>
    </row>
    <row r="6" spans="2:39">
      <c r="C6" s="1140" t="s">
        <v>324</v>
      </c>
      <c r="D6" s="1142" t="s">
        <v>325</v>
      </c>
      <c r="E6" s="1142"/>
    </row>
    <row r="7" spans="2:39">
      <c r="C7" s="1141"/>
      <c r="D7" s="76" t="s">
        <v>326</v>
      </c>
      <c r="E7" s="77" t="s">
        <v>327</v>
      </c>
    </row>
    <row r="8" spans="2:39" ht="16.5" customHeight="1">
      <c r="C8" s="393" t="s">
        <v>328</v>
      </c>
      <c r="D8" s="394">
        <v>44192</v>
      </c>
      <c r="E8" s="395">
        <v>280178</v>
      </c>
    </row>
    <row r="9" spans="2:39" ht="16.5" customHeight="1">
      <c r="C9" s="393" t="s">
        <v>329</v>
      </c>
      <c r="D9" s="394">
        <v>15305</v>
      </c>
      <c r="E9" s="395">
        <v>31672</v>
      </c>
    </row>
    <row r="10" spans="2:39" ht="16.5" customHeight="1">
      <c r="C10" s="393" t="s">
        <v>330</v>
      </c>
      <c r="D10" s="394">
        <v>0</v>
      </c>
      <c r="E10" s="395">
        <v>1403</v>
      </c>
    </row>
    <row r="11" spans="2:39" ht="16.5" customHeight="1">
      <c r="C11" s="396" t="s">
        <v>331</v>
      </c>
      <c r="D11" s="397">
        <v>59497</v>
      </c>
      <c r="E11" s="398">
        <v>313253</v>
      </c>
    </row>
    <row r="12" spans="2:39" ht="16.5" customHeight="1">
      <c r="C12" s="399" t="s">
        <v>332</v>
      </c>
      <c r="D12" s="400">
        <v>0.15961636485580147</v>
      </c>
      <c r="E12" s="401">
        <v>0.84038363514419856</v>
      </c>
    </row>
    <row r="20" spans="3:13">
      <c r="C20" s="66" t="s">
        <v>427</v>
      </c>
    </row>
    <row r="23" spans="3:13" ht="15.75" thickBot="1">
      <c r="C23" s="1143" t="s">
        <v>333</v>
      </c>
      <c r="D23" s="1143"/>
      <c r="E23" s="1143"/>
      <c r="F23" s="1143"/>
      <c r="G23" s="1143"/>
      <c r="H23" s="1143"/>
      <c r="I23" s="1143"/>
      <c r="J23" s="1143"/>
      <c r="K23" s="1143"/>
      <c r="L23" s="1143"/>
      <c r="M23" s="1143"/>
    </row>
    <row r="24" spans="3:13" ht="15.75" thickBot="1">
      <c r="C24" s="56"/>
      <c r="D24" s="1144">
        <v>2006</v>
      </c>
      <c r="E24" s="1145"/>
      <c r="F24" s="1144">
        <v>2007</v>
      </c>
      <c r="G24" s="1145"/>
      <c r="H24" s="1144">
        <v>2008</v>
      </c>
      <c r="I24" s="1145"/>
      <c r="J24" s="1144">
        <v>2009</v>
      </c>
      <c r="K24" s="1145"/>
      <c r="L24" s="1144">
        <v>2010</v>
      </c>
      <c r="M24" s="1146"/>
    </row>
    <row r="25" spans="3:13">
      <c r="C25" s="419" t="s">
        <v>334</v>
      </c>
      <c r="D25" s="79" t="s">
        <v>335</v>
      </c>
      <c r="E25" s="79" t="s">
        <v>332</v>
      </c>
      <c r="F25" s="79" t="s">
        <v>335</v>
      </c>
      <c r="G25" s="79" t="s">
        <v>332</v>
      </c>
      <c r="H25" s="79" t="s">
        <v>335</v>
      </c>
      <c r="I25" s="79" t="s">
        <v>332</v>
      </c>
      <c r="J25" s="79" t="s">
        <v>335</v>
      </c>
      <c r="K25" s="79" t="s">
        <v>332</v>
      </c>
      <c r="L25" s="79" t="s">
        <v>335</v>
      </c>
      <c r="M25" s="80" t="s">
        <v>332</v>
      </c>
    </row>
    <row r="26" spans="3:13">
      <c r="C26" s="57" t="s">
        <v>336</v>
      </c>
      <c r="D26" s="58" t="s">
        <v>337</v>
      </c>
      <c r="E26" s="58" t="s">
        <v>338</v>
      </c>
      <c r="F26" s="58" t="s">
        <v>339</v>
      </c>
      <c r="G26" s="58">
        <v>41.4</v>
      </c>
      <c r="H26" s="58" t="s">
        <v>340</v>
      </c>
      <c r="I26" s="58">
        <v>45.2</v>
      </c>
      <c r="J26" s="58" t="s">
        <v>341</v>
      </c>
      <c r="K26" s="58">
        <v>46.4</v>
      </c>
      <c r="L26" s="58" t="s">
        <v>342</v>
      </c>
      <c r="M26" s="58">
        <v>47.1</v>
      </c>
    </row>
    <row r="27" spans="3:13">
      <c r="C27" s="57" t="s">
        <v>343</v>
      </c>
      <c r="D27" s="58" t="s">
        <v>337</v>
      </c>
      <c r="E27" s="58" t="s">
        <v>338</v>
      </c>
      <c r="F27" s="58" t="s">
        <v>344</v>
      </c>
      <c r="G27" s="58">
        <v>58.6</v>
      </c>
      <c r="H27" s="58" t="s">
        <v>345</v>
      </c>
      <c r="I27" s="58">
        <v>54.8</v>
      </c>
      <c r="J27" s="58" t="s">
        <v>346</v>
      </c>
      <c r="K27" s="58">
        <v>53.6</v>
      </c>
      <c r="L27" s="58" t="s">
        <v>347</v>
      </c>
      <c r="M27" s="58">
        <v>52.9</v>
      </c>
    </row>
    <row r="28" spans="3:13" ht="15.75" thickBot="1">
      <c r="C28" s="59" t="s">
        <v>348</v>
      </c>
      <c r="D28" s="60" t="s">
        <v>349</v>
      </c>
      <c r="E28" s="61">
        <v>100</v>
      </c>
      <c r="F28" s="60" t="s">
        <v>350</v>
      </c>
      <c r="G28" s="61">
        <v>100</v>
      </c>
      <c r="H28" s="60" t="s">
        <v>351</v>
      </c>
      <c r="I28" s="61">
        <v>100</v>
      </c>
      <c r="J28" s="60" t="s">
        <v>352</v>
      </c>
      <c r="K28" s="61">
        <v>100</v>
      </c>
      <c r="L28" s="61" t="s">
        <v>353</v>
      </c>
      <c r="M28" s="61">
        <v>100</v>
      </c>
    </row>
    <row r="29" spans="3:13" ht="15.75" thickBot="1">
      <c r="C29" s="62" t="s">
        <v>354</v>
      </c>
      <c r="D29" s="63"/>
      <c r="E29" s="63"/>
      <c r="F29" s="64"/>
      <c r="G29" s="64"/>
      <c r="H29" s="64"/>
      <c r="I29" s="64"/>
      <c r="J29" s="64"/>
      <c r="K29" s="64"/>
      <c r="L29" s="64"/>
      <c r="M29" s="64"/>
    </row>
    <row r="30" spans="3:13">
      <c r="C30" s="57" t="s">
        <v>355</v>
      </c>
      <c r="D30" s="58" t="s">
        <v>337</v>
      </c>
      <c r="E30" s="58" t="s">
        <v>338</v>
      </c>
      <c r="F30" s="65" t="s">
        <v>356</v>
      </c>
      <c r="G30" s="58">
        <v>5.8</v>
      </c>
      <c r="H30" s="65" t="s">
        <v>357</v>
      </c>
      <c r="I30" s="58">
        <v>4.2</v>
      </c>
      <c r="J30" s="65" t="s">
        <v>358</v>
      </c>
      <c r="K30" s="58">
        <v>3.8</v>
      </c>
      <c r="L30" s="58">
        <v>474</v>
      </c>
      <c r="M30" s="58">
        <v>3.3</v>
      </c>
    </row>
    <row r="31" spans="3:13">
      <c r="C31" s="57" t="s">
        <v>359</v>
      </c>
      <c r="D31" s="58" t="s">
        <v>337</v>
      </c>
      <c r="E31" s="58" t="s">
        <v>338</v>
      </c>
      <c r="F31" s="65" t="s">
        <v>360</v>
      </c>
      <c r="G31" s="58">
        <v>24.2</v>
      </c>
      <c r="H31" s="65" t="s">
        <v>361</v>
      </c>
      <c r="I31" s="58">
        <v>22.9</v>
      </c>
      <c r="J31" s="65" t="s">
        <v>362</v>
      </c>
      <c r="K31" s="58">
        <v>23.3</v>
      </c>
      <c r="L31" s="58" t="s">
        <v>363</v>
      </c>
      <c r="M31" s="58">
        <v>20.6</v>
      </c>
    </row>
    <row r="32" spans="3:13">
      <c r="C32" s="57" t="s">
        <v>364</v>
      </c>
      <c r="D32" s="58" t="s">
        <v>337</v>
      </c>
      <c r="E32" s="58" t="s">
        <v>338</v>
      </c>
      <c r="F32" s="65" t="s">
        <v>365</v>
      </c>
      <c r="G32" s="58">
        <v>39.5</v>
      </c>
      <c r="H32" s="65" t="s">
        <v>366</v>
      </c>
      <c r="I32" s="58">
        <v>39.4</v>
      </c>
      <c r="J32" s="65" t="s">
        <v>367</v>
      </c>
      <c r="K32" s="58">
        <v>38.6</v>
      </c>
      <c r="L32" s="58" t="s">
        <v>368</v>
      </c>
      <c r="M32" s="58">
        <v>38.9</v>
      </c>
    </row>
    <row r="33" spans="3:13">
      <c r="C33" s="57" t="s">
        <v>369</v>
      </c>
      <c r="D33" s="58" t="s">
        <v>337</v>
      </c>
      <c r="E33" s="58" t="s">
        <v>338</v>
      </c>
      <c r="F33" s="65" t="s">
        <v>370</v>
      </c>
      <c r="G33" s="58">
        <v>23.7</v>
      </c>
      <c r="H33" s="65" t="s">
        <v>371</v>
      </c>
      <c r="I33" s="58">
        <v>26</v>
      </c>
      <c r="J33" s="65" t="s">
        <v>372</v>
      </c>
      <c r="K33" s="58">
        <v>26.4</v>
      </c>
      <c r="L33" s="58" t="s">
        <v>373</v>
      </c>
      <c r="M33" s="58">
        <v>27.5</v>
      </c>
    </row>
    <row r="34" spans="3:13">
      <c r="C34" s="57" t="s">
        <v>374</v>
      </c>
      <c r="D34" s="58" t="s">
        <v>337</v>
      </c>
      <c r="E34" s="58" t="s">
        <v>338</v>
      </c>
      <c r="F34" s="65" t="s">
        <v>375</v>
      </c>
      <c r="G34" s="58">
        <v>6.3</v>
      </c>
      <c r="H34" s="65" t="s">
        <v>376</v>
      </c>
      <c r="I34" s="58">
        <v>6.9</v>
      </c>
      <c r="J34" s="65" t="s">
        <v>377</v>
      </c>
      <c r="K34" s="58">
        <v>7.2</v>
      </c>
      <c r="L34" s="58" t="s">
        <v>378</v>
      </c>
      <c r="M34" s="58">
        <v>8.9</v>
      </c>
    </row>
    <row r="35" spans="3:13">
      <c r="C35" s="57" t="s">
        <v>379</v>
      </c>
      <c r="D35" s="58" t="s">
        <v>337</v>
      </c>
      <c r="E35" s="58" t="s">
        <v>338</v>
      </c>
      <c r="F35" s="65">
        <v>246</v>
      </c>
      <c r="G35" s="58">
        <v>0.4</v>
      </c>
      <c r="H35" s="65">
        <v>476</v>
      </c>
      <c r="I35" s="58">
        <v>0.6</v>
      </c>
      <c r="J35" s="65">
        <v>811</v>
      </c>
      <c r="K35" s="58">
        <v>0.7</v>
      </c>
      <c r="L35" s="58">
        <v>129</v>
      </c>
      <c r="M35" s="58">
        <v>0.9</v>
      </c>
    </row>
    <row r="36" spans="3:13">
      <c r="C36" s="66" t="s">
        <v>348</v>
      </c>
      <c r="D36" s="67" t="s">
        <v>349</v>
      </c>
      <c r="E36" s="68">
        <v>100</v>
      </c>
      <c r="F36" s="67" t="s">
        <v>350</v>
      </c>
      <c r="G36" s="68">
        <v>100</v>
      </c>
      <c r="H36" s="67" t="s">
        <v>351</v>
      </c>
      <c r="I36" s="68">
        <v>100</v>
      </c>
      <c r="J36" s="67" t="s">
        <v>352</v>
      </c>
      <c r="K36" s="68">
        <v>100</v>
      </c>
      <c r="L36" s="68" t="s">
        <v>353</v>
      </c>
      <c r="M36" s="68">
        <v>100</v>
      </c>
    </row>
    <row r="37" spans="3:13" ht="15.75">
      <c r="C37" s="69" t="s">
        <v>380</v>
      </c>
      <c r="D37" s="70"/>
      <c r="E37" s="71"/>
      <c r="F37" s="72"/>
      <c r="G37" s="72"/>
      <c r="H37" s="72"/>
      <c r="I37" s="72"/>
      <c r="J37" s="72"/>
      <c r="K37" s="72"/>
      <c r="L37" s="72"/>
      <c r="M37" s="72"/>
    </row>
    <row r="38" spans="3:13">
      <c r="C38" s="57" t="s">
        <v>381</v>
      </c>
      <c r="D38" s="58" t="s">
        <v>337</v>
      </c>
      <c r="E38" s="58" t="s">
        <v>338</v>
      </c>
      <c r="F38" s="58" t="s">
        <v>382</v>
      </c>
      <c r="G38" s="58">
        <v>70.099999999999994</v>
      </c>
      <c r="H38" s="58" t="s">
        <v>383</v>
      </c>
      <c r="I38" s="58">
        <v>76.599999999999994</v>
      </c>
      <c r="J38" s="58" t="s">
        <v>384</v>
      </c>
      <c r="K38" s="58">
        <v>75.2</v>
      </c>
      <c r="L38" s="58" t="s">
        <v>385</v>
      </c>
      <c r="M38" s="58">
        <v>70.5</v>
      </c>
    </row>
    <row r="39" spans="3:13">
      <c r="C39" s="57" t="s">
        <v>386</v>
      </c>
      <c r="D39" s="58" t="s">
        <v>337</v>
      </c>
      <c r="E39" s="58" t="s">
        <v>338</v>
      </c>
      <c r="F39" s="58" t="s">
        <v>387</v>
      </c>
      <c r="G39" s="58">
        <v>25.4</v>
      </c>
      <c r="H39" s="58" t="s">
        <v>388</v>
      </c>
      <c r="I39" s="58">
        <v>19.100000000000001</v>
      </c>
      <c r="J39" s="58" t="s">
        <v>389</v>
      </c>
      <c r="K39" s="58">
        <v>20.8</v>
      </c>
      <c r="L39" s="58" t="s">
        <v>390</v>
      </c>
      <c r="M39" s="58">
        <v>24.9</v>
      </c>
    </row>
    <row r="40" spans="3:13">
      <c r="C40" s="57" t="s">
        <v>391</v>
      </c>
      <c r="D40" s="58" t="s">
        <v>337</v>
      </c>
      <c r="E40" s="58" t="s">
        <v>338</v>
      </c>
      <c r="F40" s="58">
        <v>0</v>
      </c>
      <c r="G40" s="58">
        <v>0</v>
      </c>
      <c r="H40" s="58">
        <v>1</v>
      </c>
      <c r="I40" s="58">
        <v>0</v>
      </c>
      <c r="J40" s="58">
        <v>445</v>
      </c>
      <c r="K40" s="58">
        <v>0.4</v>
      </c>
      <c r="L40" s="58">
        <v>131</v>
      </c>
      <c r="M40" s="58">
        <v>0.9</v>
      </c>
    </row>
    <row r="41" spans="3:13">
      <c r="C41" s="57" t="s">
        <v>392</v>
      </c>
      <c r="D41" s="58" t="s">
        <v>337</v>
      </c>
      <c r="E41" s="58" t="s">
        <v>338</v>
      </c>
      <c r="F41" s="58">
        <v>0</v>
      </c>
      <c r="G41" s="58">
        <v>0</v>
      </c>
      <c r="H41" s="58">
        <v>0</v>
      </c>
      <c r="I41" s="58">
        <v>0</v>
      </c>
      <c r="J41" s="58">
        <v>524</v>
      </c>
      <c r="K41" s="58">
        <v>0.5</v>
      </c>
      <c r="L41" s="58">
        <v>197</v>
      </c>
      <c r="M41" s="58">
        <v>1.4</v>
      </c>
    </row>
    <row r="42" spans="3:13">
      <c r="C42" s="57" t="s">
        <v>393</v>
      </c>
      <c r="D42" s="58" t="s">
        <v>337</v>
      </c>
      <c r="E42" s="58" t="s">
        <v>338</v>
      </c>
      <c r="F42" s="58" t="s">
        <v>394</v>
      </c>
      <c r="G42" s="58">
        <v>4.5</v>
      </c>
      <c r="H42" s="58" t="s">
        <v>395</v>
      </c>
      <c r="I42" s="58">
        <v>4.3</v>
      </c>
      <c r="J42" s="58" t="s">
        <v>396</v>
      </c>
      <c r="K42" s="58">
        <v>3.2</v>
      </c>
      <c r="L42" s="58">
        <v>344</v>
      </c>
      <c r="M42" s="58">
        <v>2.4</v>
      </c>
    </row>
    <row r="43" spans="3:13">
      <c r="C43" s="66" t="s">
        <v>348</v>
      </c>
      <c r="D43" s="68" t="s">
        <v>349</v>
      </c>
      <c r="E43" s="68">
        <v>100</v>
      </c>
      <c r="F43" s="67" t="s">
        <v>350</v>
      </c>
      <c r="G43" s="68">
        <v>100</v>
      </c>
      <c r="H43" s="67" t="s">
        <v>351</v>
      </c>
      <c r="I43" s="68">
        <v>100</v>
      </c>
      <c r="J43" s="67" t="s">
        <v>352</v>
      </c>
      <c r="K43" s="68">
        <v>100</v>
      </c>
      <c r="L43" s="68" t="s">
        <v>353</v>
      </c>
      <c r="M43" s="68">
        <v>100</v>
      </c>
    </row>
    <row r="44" spans="3:13" ht="15.75">
      <c r="C44" s="69" t="s">
        <v>397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</row>
    <row r="45" spans="3:13">
      <c r="C45" s="57" t="s">
        <v>398</v>
      </c>
      <c r="D45" s="65" t="s">
        <v>399</v>
      </c>
      <c r="E45" s="58">
        <v>37.5</v>
      </c>
      <c r="F45" s="65" t="s">
        <v>400</v>
      </c>
      <c r="G45" s="58">
        <v>41.1</v>
      </c>
      <c r="H45" s="65" t="s">
        <v>401</v>
      </c>
      <c r="I45" s="58">
        <v>44.2</v>
      </c>
      <c r="J45" s="65" t="s">
        <v>402</v>
      </c>
      <c r="K45" s="58">
        <v>46.3</v>
      </c>
      <c r="L45" s="58" t="s">
        <v>403</v>
      </c>
      <c r="M45" s="58">
        <v>43</v>
      </c>
    </row>
    <row r="46" spans="3:13">
      <c r="C46" s="57" t="s">
        <v>404</v>
      </c>
      <c r="D46" s="65" t="s">
        <v>405</v>
      </c>
      <c r="E46" s="58">
        <v>29.3</v>
      </c>
      <c r="F46" s="65" t="s">
        <v>406</v>
      </c>
      <c r="G46" s="58">
        <v>25.8</v>
      </c>
      <c r="H46" s="65" t="s">
        <v>407</v>
      </c>
      <c r="I46" s="58">
        <v>24.3</v>
      </c>
      <c r="J46" s="65" t="s">
        <v>408</v>
      </c>
      <c r="K46" s="58">
        <v>23.1</v>
      </c>
      <c r="L46" s="58" t="s">
        <v>409</v>
      </c>
      <c r="M46" s="58">
        <v>21.9</v>
      </c>
    </row>
    <row r="47" spans="3:13">
      <c r="C47" s="57" t="s">
        <v>410</v>
      </c>
      <c r="D47" s="65" t="s">
        <v>411</v>
      </c>
      <c r="E47" s="58">
        <v>21.3</v>
      </c>
      <c r="F47" s="65" t="s">
        <v>412</v>
      </c>
      <c r="G47" s="58">
        <v>16.8</v>
      </c>
      <c r="H47" s="65" t="s">
        <v>413</v>
      </c>
      <c r="I47" s="58">
        <v>18.100000000000001</v>
      </c>
      <c r="J47" s="65" t="s">
        <v>414</v>
      </c>
      <c r="K47" s="58">
        <v>20.399999999999999</v>
      </c>
      <c r="L47" s="58" t="s">
        <v>415</v>
      </c>
      <c r="M47" s="58">
        <v>25.1</v>
      </c>
    </row>
    <row r="48" spans="3:13">
      <c r="C48" s="57" t="s">
        <v>416</v>
      </c>
      <c r="D48" s="65" t="s">
        <v>417</v>
      </c>
      <c r="E48" s="58">
        <v>8.1999999999999993</v>
      </c>
      <c r="F48" s="65" t="s">
        <v>418</v>
      </c>
      <c r="G48" s="58">
        <v>12.9</v>
      </c>
      <c r="H48" s="65" t="s">
        <v>419</v>
      </c>
      <c r="I48" s="58">
        <v>10.3</v>
      </c>
      <c r="J48" s="65" t="s">
        <v>420</v>
      </c>
      <c r="K48" s="58">
        <v>6.8</v>
      </c>
      <c r="L48" s="58" t="s">
        <v>421</v>
      </c>
      <c r="M48" s="58">
        <v>7.3</v>
      </c>
    </row>
    <row r="49" spans="3:13">
      <c r="C49" s="57" t="s">
        <v>422</v>
      </c>
      <c r="D49" s="65">
        <v>878</v>
      </c>
      <c r="E49" s="58">
        <v>3.5</v>
      </c>
      <c r="F49" s="65" t="s">
        <v>423</v>
      </c>
      <c r="G49" s="58">
        <v>3</v>
      </c>
      <c r="H49" s="65" t="s">
        <v>424</v>
      </c>
      <c r="I49" s="58">
        <v>2.6</v>
      </c>
      <c r="J49" s="65" t="s">
        <v>425</v>
      </c>
      <c r="K49" s="58">
        <v>3</v>
      </c>
      <c r="L49" s="58">
        <v>329</v>
      </c>
      <c r="M49" s="58">
        <v>2.2999999999999998</v>
      </c>
    </row>
    <row r="50" spans="3:13">
      <c r="C50" s="57" t="s">
        <v>426</v>
      </c>
      <c r="D50" s="65">
        <v>81</v>
      </c>
      <c r="E50" s="58">
        <v>0.3</v>
      </c>
      <c r="F50" s="65">
        <v>223</v>
      </c>
      <c r="G50" s="58">
        <v>0.4</v>
      </c>
      <c r="H50" s="65">
        <v>443</v>
      </c>
      <c r="I50" s="58">
        <v>0.6</v>
      </c>
      <c r="J50" s="65">
        <v>428</v>
      </c>
      <c r="K50" s="58">
        <v>0.4</v>
      </c>
      <c r="L50" s="58">
        <v>63</v>
      </c>
      <c r="M50" s="58">
        <v>0.4</v>
      </c>
    </row>
    <row r="51" spans="3:13" ht="15.75" thickBot="1">
      <c r="C51" s="73" t="s">
        <v>348</v>
      </c>
      <c r="D51" s="74">
        <v>25079</v>
      </c>
      <c r="E51" s="75"/>
      <c r="F51" s="74">
        <v>54982</v>
      </c>
      <c r="G51" s="75"/>
      <c r="H51" s="74">
        <v>74184</v>
      </c>
      <c r="I51" s="75"/>
      <c r="J51" s="74">
        <v>111356</v>
      </c>
      <c r="K51" s="75"/>
      <c r="L51" s="75">
        <v>14577</v>
      </c>
      <c r="M51" s="75"/>
    </row>
    <row r="53" spans="3:13">
      <c r="C53" s="81" t="s">
        <v>428</v>
      </c>
      <c r="D53" s="78"/>
      <c r="E53" s="78"/>
      <c r="F53" s="78"/>
      <c r="G53" s="78"/>
      <c r="H53" s="78"/>
      <c r="I53" s="78"/>
    </row>
    <row r="54" spans="3:13">
      <c r="C54" s="1138" t="s">
        <v>429</v>
      </c>
      <c r="D54" s="1138"/>
      <c r="E54" s="1138"/>
      <c r="F54" s="82"/>
      <c r="G54" s="82"/>
      <c r="H54" s="82"/>
      <c r="I54" s="82"/>
    </row>
    <row r="55" spans="3:13">
      <c r="C55" s="1139" t="s">
        <v>430</v>
      </c>
      <c r="D55" s="1138"/>
      <c r="E55" s="1138"/>
      <c r="F55" s="1138"/>
      <c r="G55" s="1138"/>
      <c r="H55" s="1138"/>
      <c r="I55" s="1138"/>
    </row>
  </sheetData>
  <mergeCells count="11">
    <mergeCell ref="C1:AM1"/>
    <mergeCell ref="C54:E54"/>
    <mergeCell ref="C55:I55"/>
    <mergeCell ref="C6:C7"/>
    <mergeCell ref="D6:E6"/>
    <mergeCell ref="C23:M23"/>
    <mergeCell ref="D24:E24"/>
    <mergeCell ref="F24:G24"/>
    <mergeCell ref="H24:I24"/>
    <mergeCell ref="J24:K24"/>
    <mergeCell ref="L24:M24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B1:AM22"/>
  <sheetViews>
    <sheetView topLeftCell="U1" workbookViewId="0">
      <selection activeCell="C22" sqref="C22"/>
    </sheetView>
  </sheetViews>
  <sheetFormatPr defaultRowHeight="15"/>
  <cols>
    <col min="1" max="1" width="2.28515625" customWidth="1"/>
    <col min="2" max="2" width="5.7109375" customWidth="1"/>
    <col min="5" max="15" width="10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212</v>
      </c>
    </row>
    <row r="5" spans="2:39" ht="19.5" customHeight="1">
      <c r="C5" s="928"/>
      <c r="D5" s="929" t="s">
        <v>441</v>
      </c>
      <c r="E5" s="1224" t="s">
        <v>715</v>
      </c>
      <c r="F5" s="1224" t="s">
        <v>716</v>
      </c>
      <c r="G5" s="1224" t="s">
        <v>446</v>
      </c>
      <c r="H5" s="1224" t="s">
        <v>447</v>
      </c>
      <c r="I5" s="1224" t="s">
        <v>448</v>
      </c>
      <c r="J5" s="1224" t="s">
        <v>449</v>
      </c>
      <c r="K5" s="1224" t="s">
        <v>450</v>
      </c>
      <c r="L5" s="1224" t="s">
        <v>451</v>
      </c>
      <c r="M5" s="1224" t="s">
        <v>452</v>
      </c>
      <c r="N5" s="1224" t="s">
        <v>453</v>
      </c>
      <c r="O5" s="1224" t="s">
        <v>454</v>
      </c>
    </row>
    <row r="6" spans="2:39">
      <c r="C6" s="673" t="s">
        <v>354</v>
      </c>
      <c r="D6" s="674"/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</row>
    <row r="7" spans="2:39" ht="4.5" customHeight="1">
      <c r="C7" s="930"/>
      <c r="D7" s="930"/>
      <c r="E7" s="930"/>
      <c r="F7" s="931"/>
      <c r="G7" s="931"/>
      <c r="H7" s="931"/>
      <c r="I7" s="931"/>
      <c r="J7" s="931"/>
      <c r="K7" s="931"/>
      <c r="L7" s="931"/>
      <c r="M7" s="931"/>
      <c r="N7" s="931"/>
      <c r="O7" s="931"/>
    </row>
    <row r="8" spans="2:39" ht="18" customHeight="1">
      <c r="C8" s="1318" t="s">
        <v>469</v>
      </c>
      <c r="D8" s="1348"/>
      <c r="E8" s="932">
        <v>12172</v>
      </c>
      <c r="F8" s="932">
        <v>13054</v>
      </c>
      <c r="G8" s="932">
        <v>14152</v>
      </c>
      <c r="H8" s="932">
        <v>14704</v>
      </c>
      <c r="I8" s="932">
        <v>14777</v>
      </c>
      <c r="J8" s="932">
        <v>15414</v>
      </c>
      <c r="K8" s="932">
        <v>15394</v>
      </c>
      <c r="L8" s="932">
        <v>16267</v>
      </c>
      <c r="M8" s="932">
        <v>16602</v>
      </c>
      <c r="N8" s="932">
        <v>16707</v>
      </c>
      <c r="O8" s="933">
        <v>15972</v>
      </c>
    </row>
    <row r="9" spans="2:39" ht="4.5" customHeight="1">
      <c r="C9" s="913"/>
      <c r="D9" s="913"/>
      <c r="E9" s="728"/>
      <c r="F9" s="934"/>
      <c r="G9" s="934"/>
      <c r="H9" s="934"/>
      <c r="I9" s="934"/>
      <c r="J9" s="934"/>
      <c r="K9" s="934"/>
      <c r="L9" s="934"/>
      <c r="M9" s="934"/>
      <c r="N9" s="934"/>
      <c r="O9" s="934"/>
    </row>
    <row r="10" spans="2:39" ht="18" customHeight="1">
      <c r="C10" s="1346" t="s">
        <v>946</v>
      </c>
      <c r="D10" s="1347"/>
      <c r="E10" s="537">
        <v>311</v>
      </c>
      <c r="F10" s="537">
        <v>544</v>
      </c>
      <c r="G10" s="537">
        <v>568</v>
      </c>
      <c r="H10" s="537">
        <v>589</v>
      </c>
      <c r="I10" s="537">
        <v>487</v>
      </c>
      <c r="J10" s="537">
        <v>606</v>
      </c>
      <c r="K10" s="537">
        <v>484</v>
      </c>
      <c r="L10" s="537">
        <v>496</v>
      </c>
      <c r="M10" s="537">
        <v>461</v>
      </c>
      <c r="N10" s="537">
        <v>354</v>
      </c>
      <c r="O10" s="538">
        <v>241</v>
      </c>
    </row>
    <row r="11" spans="2:39" ht="18" customHeight="1">
      <c r="C11" s="1345" t="s">
        <v>947</v>
      </c>
      <c r="D11" s="1345"/>
      <c r="E11" s="935">
        <v>2104</v>
      </c>
      <c r="F11" s="935">
        <v>1909</v>
      </c>
      <c r="G11" s="935">
        <v>1994</v>
      </c>
      <c r="H11" s="935">
        <v>1914</v>
      </c>
      <c r="I11" s="935">
        <v>1929</v>
      </c>
      <c r="J11" s="935">
        <v>1926</v>
      </c>
      <c r="K11" s="935">
        <v>1921</v>
      </c>
      <c r="L11" s="935">
        <v>1946</v>
      </c>
      <c r="M11" s="935">
        <v>1986</v>
      </c>
      <c r="N11" s="935">
        <v>1746</v>
      </c>
      <c r="O11" s="935">
        <v>1524</v>
      </c>
    </row>
    <row r="12" spans="2:39" ht="18" customHeight="1">
      <c r="C12" s="1343" t="s">
        <v>948</v>
      </c>
      <c r="D12" s="1344"/>
      <c r="E12" s="537">
        <v>3637</v>
      </c>
      <c r="F12" s="537">
        <v>2634</v>
      </c>
      <c r="G12" s="537">
        <v>2809</v>
      </c>
      <c r="H12" s="537">
        <v>2529</v>
      </c>
      <c r="I12" s="537">
        <v>2453</v>
      </c>
      <c r="J12" s="537">
        <v>2384</v>
      </c>
      <c r="K12" s="537">
        <v>2288</v>
      </c>
      <c r="L12" s="537">
        <v>2299</v>
      </c>
      <c r="M12" s="537">
        <v>2195</v>
      </c>
      <c r="N12" s="537">
        <v>2099</v>
      </c>
      <c r="O12" s="538">
        <v>1856</v>
      </c>
    </row>
    <row r="13" spans="2:39" ht="18" customHeight="1">
      <c r="C13" s="1345" t="s">
        <v>949</v>
      </c>
      <c r="D13" s="1345"/>
      <c r="E13" s="935">
        <v>3625</v>
      </c>
      <c r="F13" s="935">
        <v>3529</v>
      </c>
      <c r="G13" s="935">
        <v>3866</v>
      </c>
      <c r="H13" s="935">
        <v>3733</v>
      </c>
      <c r="I13" s="935">
        <v>3512</v>
      </c>
      <c r="J13" s="935">
        <v>3268</v>
      </c>
      <c r="K13" s="935">
        <v>3051</v>
      </c>
      <c r="L13" s="935">
        <v>3018</v>
      </c>
      <c r="M13" s="935">
        <v>2820</v>
      </c>
      <c r="N13" s="935">
        <v>2695</v>
      </c>
      <c r="O13" s="935">
        <v>2494</v>
      </c>
    </row>
    <row r="14" spans="2:39" ht="18" customHeight="1">
      <c r="C14" s="1343" t="s">
        <v>950</v>
      </c>
      <c r="D14" s="1344"/>
      <c r="E14" s="537">
        <v>1498</v>
      </c>
      <c r="F14" s="537">
        <v>2630</v>
      </c>
      <c r="G14" s="537">
        <v>2924</v>
      </c>
      <c r="H14" s="537">
        <v>3364</v>
      </c>
      <c r="I14" s="537">
        <v>3563</v>
      </c>
      <c r="J14" s="537">
        <v>3823</v>
      </c>
      <c r="K14" s="537">
        <v>3800</v>
      </c>
      <c r="L14" s="537">
        <v>3946</v>
      </c>
      <c r="M14" s="537">
        <v>4088</v>
      </c>
      <c r="N14" s="537">
        <v>3899</v>
      </c>
      <c r="O14" s="538">
        <v>3596</v>
      </c>
    </row>
    <row r="15" spans="2:39" ht="18" customHeight="1">
      <c r="C15" s="1345" t="s">
        <v>951</v>
      </c>
      <c r="D15" s="1345"/>
      <c r="E15" s="935">
        <v>542</v>
      </c>
      <c r="F15" s="935">
        <v>963</v>
      </c>
      <c r="G15" s="935">
        <v>1074</v>
      </c>
      <c r="H15" s="935">
        <v>1464</v>
      </c>
      <c r="I15" s="935">
        <v>1628</v>
      </c>
      <c r="J15" s="935">
        <v>2087</v>
      </c>
      <c r="K15" s="935">
        <v>2358</v>
      </c>
      <c r="L15" s="935">
        <v>2892</v>
      </c>
      <c r="M15" s="935">
        <v>3241</v>
      </c>
      <c r="N15" s="935">
        <v>3721</v>
      </c>
      <c r="O15" s="935">
        <v>3836</v>
      </c>
    </row>
    <row r="16" spans="2:39" ht="18" customHeight="1">
      <c r="C16" s="1343" t="s">
        <v>952</v>
      </c>
      <c r="D16" s="1344"/>
      <c r="E16" s="537">
        <v>316</v>
      </c>
      <c r="F16" s="537">
        <v>516</v>
      </c>
      <c r="G16" s="537">
        <v>570</v>
      </c>
      <c r="H16" s="537">
        <v>700</v>
      </c>
      <c r="I16" s="537">
        <v>747</v>
      </c>
      <c r="J16" s="537">
        <v>814</v>
      </c>
      <c r="K16" s="537">
        <v>987</v>
      </c>
      <c r="L16" s="537">
        <v>1135</v>
      </c>
      <c r="M16" s="537">
        <v>1278</v>
      </c>
      <c r="N16" s="537">
        <v>1587</v>
      </c>
      <c r="O16" s="538">
        <v>1799</v>
      </c>
    </row>
    <row r="17" spans="3:15" ht="18" customHeight="1">
      <c r="C17" s="1345" t="s">
        <v>953</v>
      </c>
      <c r="D17" s="1345"/>
      <c r="E17" s="935">
        <v>90</v>
      </c>
      <c r="F17" s="935">
        <v>219</v>
      </c>
      <c r="G17" s="935">
        <v>233</v>
      </c>
      <c r="H17" s="935">
        <v>263</v>
      </c>
      <c r="I17" s="935">
        <v>307</v>
      </c>
      <c r="J17" s="935">
        <v>350</v>
      </c>
      <c r="K17" s="935">
        <v>368</v>
      </c>
      <c r="L17" s="935">
        <v>393</v>
      </c>
      <c r="M17" s="935">
        <v>383</v>
      </c>
      <c r="N17" s="935">
        <v>426</v>
      </c>
      <c r="O17" s="935">
        <v>428</v>
      </c>
    </row>
    <row r="18" spans="3:15" ht="18" customHeight="1">
      <c r="C18" s="1346" t="s">
        <v>954</v>
      </c>
      <c r="D18" s="1347"/>
      <c r="E18" s="537">
        <v>49</v>
      </c>
      <c r="F18" s="537">
        <v>110</v>
      </c>
      <c r="G18" s="537">
        <v>114</v>
      </c>
      <c r="H18" s="537">
        <v>148</v>
      </c>
      <c r="I18" s="537">
        <v>151</v>
      </c>
      <c r="J18" s="537">
        <v>156</v>
      </c>
      <c r="K18" s="537">
        <v>137</v>
      </c>
      <c r="L18" s="537">
        <v>142</v>
      </c>
      <c r="M18" s="537">
        <v>150</v>
      </c>
      <c r="N18" s="537">
        <v>180</v>
      </c>
      <c r="O18" s="538">
        <v>198</v>
      </c>
    </row>
    <row r="22" spans="3:15">
      <c r="C22" s="2" t="s">
        <v>945</v>
      </c>
    </row>
  </sheetData>
  <mergeCells count="22">
    <mergeCell ref="C1:AM1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C8:D8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B1:AM33"/>
  <sheetViews>
    <sheetView topLeftCell="U1" workbookViewId="0">
      <selection activeCell="K35" sqref="K35"/>
    </sheetView>
  </sheetViews>
  <sheetFormatPr defaultRowHeight="15"/>
  <cols>
    <col min="1" max="1" width="2.28515625" customWidth="1"/>
    <col min="2" max="2" width="5.7109375" customWidth="1"/>
    <col min="3" max="5" width="12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214</v>
      </c>
    </row>
    <row r="5" spans="2:39">
      <c r="C5" s="453"/>
      <c r="D5" s="453"/>
      <c r="E5" s="475" t="s">
        <v>332</v>
      </c>
    </row>
    <row r="6" spans="2:39" ht="19.5" customHeight="1">
      <c r="C6" s="1204" t="s">
        <v>458</v>
      </c>
      <c r="D6" s="1349" t="s">
        <v>955</v>
      </c>
      <c r="E6" s="1350"/>
    </row>
    <row r="7" spans="2:39" ht="19.5" customHeight="1">
      <c r="C7" s="1351"/>
      <c r="D7" s="936" t="s">
        <v>471</v>
      </c>
      <c r="E7" s="936" t="s">
        <v>472</v>
      </c>
    </row>
    <row r="8" spans="2:39" ht="4.5" customHeight="1">
      <c r="C8" s="937"/>
      <c r="D8" s="938"/>
      <c r="E8" s="938"/>
    </row>
    <row r="9" spans="2:39">
      <c r="C9" s="939" t="s">
        <v>690</v>
      </c>
      <c r="D9" s="940">
        <v>0</v>
      </c>
      <c r="E9" s="940">
        <v>100</v>
      </c>
    </row>
    <row r="10" spans="2:39">
      <c r="C10" s="547" t="s">
        <v>738</v>
      </c>
      <c r="D10" s="548">
        <v>0</v>
      </c>
      <c r="E10" s="549">
        <v>100</v>
      </c>
    </row>
    <row r="11" spans="2:39">
      <c r="C11" s="826" t="s">
        <v>692</v>
      </c>
      <c r="D11" s="941">
        <v>0</v>
      </c>
      <c r="E11" s="941">
        <v>100</v>
      </c>
    </row>
    <row r="12" spans="2:39">
      <c r="C12" s="547" t="s">
        <v>693</v>
      </c>
      <c r="D12" s="548">
        <v>12.177564487102579</v>
      </c>
      <c r="E12" s="549">
        <v>87.822435512897414</v>
      </c>
    </row>
    <row r="13" spans="2:39">
      <c r="C13" s="826" t="s">
        <v>694</v>
      </c>
      <c r="D13" s="941">
        <v>13.442622950819672</v>
      </c>
      <c r="E13" s="941">
        <v>86.557377049180332</v>
      </c>
    </row>
    <row r="14" spans="2:39">
      <c r="C14" s="547" t="s">
        <v>695</v>
      </c>
      <c r="D14" s="548">
        <v>12.664214398318444</v>
      </c>
      <c r="E14" s="549">
        <v>87.33578560168155</v>
      </c>
    </row>
    <row r="15" spans="2:39">
      <c r="C15" s="942" t="s">
        <v>696</v>
      </c>
      <c r="D15" s="943">
        <v>14.123711340206185</v>
      </c>
      <c r="E15" s="943">
        <v>85.876288659793815</v>
      </c>
    </row>
    <row r="16" spans="2:39" ht="6" customHeight="1">
      <c r="C16" s="944"/>
      <c r="D16" s="945"/>
      <c r="E16" s="945"/>
    </row>
    <row r="17" spans="3:5">
      <c r="C17" s="547" t="s">
        <v>715</v>
      </c>
      <c r="D17" s="548">
        <v>52.598890942698709</v>
      </c>
      <c r="E17" s="549">
        <v>47.401109057301291</v>
      </c>
    </row>
    <row r="18" spans="3:5">
      <c r="C18" s="610" t="s">
        <v>716</v>
      </c>
      <c r="D18" s="946">
        <v>53.287317855399849</v>
      </c>
      <c r="E18" s="946">
        <v>46.712682144600151</v>
      </c>
    </row>
    <row r="19" spans="3:5">
      <c r="C19" s="547" t="s">
        <v>446</v>
      </c>
      <c r="D19" s="548">
        <v>55.269806309516099</v>
      </c>
      <c r="E19" s="549">
        <v>44.730193690483908</v>
      </c>
    </row>
    <row r="20" spans="3:5">
      <c r="C20" s="610" t="s">
        <v>447</v>
      </c>
      <c r="D20" s="946">
        <v>54.038857999625165</v>
      </c>
      <c r="E20" s="946">
        <v>45.961142000374835</v>
      </c>
    </row>
    <row r="21" spans="3:5">
      <c r="C21" s="547" t="s">
        <v>448</v>
      </c>
      <c r="D21" s="548">
        <v>54.637520069161418</v>
      </c>
      <c r="E21" s="549">
        <v>45.362479930838582</v>
      </c>
    </row>
    <row r="22" spans="3:5">
      <c r="C22" s="610" t="s">
        <v>449</v>
      </c>
      <c r="D22" s="946">
        <v>55.196207848313925</v>
      </c>
      <c r="E22" s="946">
        <v>44.803792151686068</v>
      </c>
    </row>
    <row r="23" spans="3:5">
      <c r="C23" s="547" t="s">
        <v>450</v>
      </c>
      <c r="D23" s="548">
        <v>56.906870960019148</v>
      </c>
      <c r="E23" s="549">
        <v>43.093129039980852</v>
      </c>
    </row>
    <row r="24" spans="3:5">
      <c r="C24" s="610" t="s">
        <v>451</v>
      </c>
      <c r="D24" s="946">
        <v>58.790807439456081</v>
      </c>
      <c r="E24" s="946">
        <v>41.209192560543912</v>
      </c>
    </row>
    <row r="25" spans="3:5">
      <c r="C25" s="547" t="s">
        <v>452</v>
      </c>
      <c r="D25" s="548">
        <v>59.06220831274365</v>
      </c>
      <c r="E25" s="549">
        <v>40.93779168725635</v>
      </c>
    </row>
    <row r="26" spans="3:5">
      <c r="C26" s="610" t="s">
        <v>453</v>
      </c>
      <c r="D26" s="946">
        <v>59.977114210985185</v>
      </c>
      <c r="E26" s="946">
        <v>40.022885789014822</v>
      </c>
    </row>
    <row r="27" spans="3:5">
      <c r="C27" s="547" t="s">
        <v>454</v>
      </c>
      <c r="D27" s="548">
        <v>58.358782943105979</v>
      </c>
      <c r="E27" s="549">
        <v>41.641217056894014</v>
      </c>
    </row>
    <row r="31" spans="3:5">
      <c r="C31" s="947" t="s">
        <v>956</v>
      </c>
    </row>
    <row r="33" spans="3:3">
      <c r="C33" s="2" t="s">
        <v>945</v>
      </c>
    </row>
  </sheetData>
  <mergeCells count="3">
    <mergeCell ref="C1:AM1"/>
    <mergeCell ref="D6:E6"/>
    <mergeCell ref="C6:C7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B1:AM22"/>
  <sheetViews>
    <sheetView topLeftCell="U1" workbookViewId="0">
      <selection activeCell="C22" sqref="C22"/>
    </sheetView>
  </sheetViews>
  <sheetFormatPr defaultRowHeight="15"/>
  <cols>
    <col min="1" max="1" width="2.28515625" customWidth="1"/>
    <col min="2" max="2" width="5.7109375" customWidth="1"/>
    <col min="3" max="3" width="19.7109375" customWidth="1"/>
    <col min="4" max="7" width="14.285156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216</v>
      </c>
    </row>
    <row r="5" spans="2:39" ht="24.75" customHeight="1"/>
    <row r="6" spans="2:39" ht="25.5" customHeight="1">
      <c r="C6" s="948" t="s">
        <v>940</v>
      </c>
      <c r="D6" s="1352" t="s">
        <v>469</v>
      </c>
      <c r="E6" s="1354" t="s">
        <v>958</v>
      </c>
      <c r="F6" s="1176" t="s">
        <v>942</v>
      </c>
      <c r="G6" s="1356" t="s">
        <v>959</v>
      </c>
    </row>
    <row r="7" spans="2:39" ht="18" customHeight="1">
      <c r="C7" s="949" t="s">
        <v>735</v>
      </c>
      <c r="D7" s="1353"/>
      <c r="E7" s="1355"/>
      <c r="F7" s="1334"/>
      <c r="G7" s="1357"/>
    </row>
    <row r="8" spans="2:39" ht="18" customHeight="1">
      <c r="C8" s="918" t="s">
        <v>716</v>
      </c>
      <c r="D8" s="950">
        <v>35182</v>
      </c>
      <c r="E8" s="951">
        <v>105</v>
      </c>
      <c r="F8" s="952">
        <v>8948</v>
      </c>
      <c r="G8" s="951">
        <v>26129</v>
      </c>
    </row>
    <row r="9" spans="2:39" ht="18" customHeight="1">
      <c r="C9" s="547" t="s">
        <v>446</v>
      </c>
      <c r="D9" s="916">
        <v>36625</v>
      </c>
      <c r="E9" s="537">
        <v>106</v>
      </c>
      <c r="F9" s="917">
        <v>9355</v>
      </c>
      <c r="G9" s="538">
        <v>27164</v>
      </c>
    </row>
    <row r="10" spans="2:39" ht="18" customHeight="1">
      <c r="C10" s="918" t="s">
        <v>447</v>
      </c>
      <c r="D10" s="950">
        <v>36722</v>
      </c>
      <c r="E10" s="951">
        <v>145</v>
      </c>
      <c r="F10" s="952">
        <v>12644</v>
      </c>
      <c r="G10" s="951">
        <v>23933</v>
      </c>
    </row>
    <row r="11" spans="2:39" ht="18" customHeight="1">
      <c r="C11" s="547" t="s">
        <v>448</v>
      </c>
      <c r="D11" s="916">
        <v>37918</v>
      </c>
      <c r="E11" s="537">
        <v>154</v>
      </c>
      <c r="F11" s="917">
        <v>16378</v>
      </c>
      <c r="G11" s="538">
        <v>21386</v>
      </c>
    </row>
    <row r="12" spans="2:39" ht="18" customHeight="1">
      <c r="C12" s="918" t="s">
        <v>449</v>
      </c>
      <c r="D12" s="950">
        <v>37214</v>
      </c>
      <c r="E12" s="951">
        <v>213</v>
      </c>
      <c r="F12" s="952">
        <v>20904</v>
      </c>
      <c r="G12" s="951">
        <v>16097</v>
      </c>
    </row>
    <row r="13" spans="2:39" ht="18" customHeight="1">
      <c r="C13" s="547" t="s">
        <v>450</v>
      </c>
      <c r="D13" s="916">
        <v>37251</v>
      </c>
      <c r="E13" s="537">
        <v>298</v>
      </c>
      <c r="F13" s="917">
        <v>24459</v>
      </c>
      <c r="G13" s="538">
        <v>12494</v>
      </c>
    </row>
    <row r="14" spans="2:39" ht="18" customHeight="1">
      <c r="C14" s="918" t="s">
        <v>451</v>
      </c>
      <c r="D14" s="950">
        <v>37506</v>
      </c>
      <c r="E14" s="952">
        <v>306</v>
      </c>
      <c r="F14" s="951">
        <v>28291</v>
      </c>
      <c r="G14" s="951">
        <v>8909</v>
      </c>
    </row>
    <row r="15" spans="2:39" ht="18" customHeight="1">
      <c r="C15" s="547" t="s">
        <v>452</v>
      </c>
      <c r="D15" s="916">
        <v>36244</v>
      </c>
      <c r="E15" s="917">
        <v>315</v>
      </c>
      <c r="F15" s="537">
        <v>28075</v>
      </c>
      <c r="G15" s="538">
        <v>7854</v>
      </c>
    </row>
    <row r="16" spans="2:39" ht="18" customHeight="1">
      <c r="C16" s="918" t="s">
        <v>453</v>
      </c>
      <c r="D16" s="950">
        <v>31371</v>
      </c>
      <c r="E16" s="952">
        <v>383</v>
      </c>
      <c r="F16" s="951">
        <v>24839</v>
      </c>
      <c r="G16" s="951">
        <v>6149</v>
      </c>
    </row>
    <row r="17" spans="3:7" ht="18" customHeight="1">
      <c r="C17" s="547" t="s">
        <v>454</v>
      </c>
      <c r="D17" s="916">
        <v>32286</v>
      </c>
      <c r="E17" s="917">
        <v>488</v>
      </c>
      <c r="F17" s="537">
        <v>26492</v>
      </c>
      <c r="G17" s="538">
        <v>5306</v>
      </c>
    </row>
    <row r="22" spans="3:7">
      <c r="C22" s="2" t="s">
        <v>758</v>
      </c>
    </row>
  </sheetData>
  <mergeCells count="5">
    <mergeCell ref="C1:AM1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B1:AM22"/>
  <sheetViews>
    <sheetView topLeftCell="U1" workbookViewId="0">
      <selection activeCell="C33" sqref="C33"/>
    </sheetView>
  </sheetViews>
  <sheetFormatPr defaultRowHeight="15"/>
  <cols>
    <col min="1" max="1" width="2.28515625" customWidth="1"/>
    <col min="2" max="2" width="5.7109375" customWidth="1"/>
    <col min="3" max="3" width="19.7109375" customWidth="1"/>
    <col min="4" max="7" width="14.285156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957</v>
      </c>
    </row>
    <row r="6" spans="2:39" ht="25.5" customHeight="1">
      <c r="C6" s="948" t="s">
        <v>940</v>
      </c>
      <c r="D6" s="1352" t="s">
        <v>469</v>
      </c>
      <c r="E6" s="1354" t="s">
        <v>958</v>
      </c>
      <c r="F6" s="1176" t="s">
        <v>942</v>
      </c>
      <c r="G6" s="1356" t="s">
        <v>959</v>
      </c>
    </row>
    <row r="7" spans="2:39">
      <c r="C7" s="949" t="s">
        <v>735</v>
      </c>
      <c r="D7" s="1353"/>
      <c r="E7" s="1355"/>
      <c r="F7" s="1334"/>
      <c r="G7" s="1357"/>
    </row>
    <row r="8" spans="2:39" ht="18" customHeight="1">
      <c r="C8" s="918" t="s">
        <v>716</v>
      </c>
      <c r="D8" s="953">
        <v>112591</v>
      </c>
      <c r="E8" s="954">
        <v>2368</v>
      </c>
      <c r="F8" s="955">
        <v>90157</v>
      </c>
      <c r="G8" s="954">
        <v>20066</v>
      </c>
    </row>
    <row r="9" spans="2:39" ht="18" customHeight="1">
      <c r="C9" s="547" t="s">
        <v>446</v>
      </c>
      <c r="D9" s="916">
        <v>114119</v>
      </c>
      <c r="E9" s="537">
        <v>2397</v>
      </c>
      <c r="F9" s="917">
        <v>91392</v>
      </c>
      <c r="G9" s="538">
        <v>20330</v>
      </c>
    </row>
    <row r="10" spans="2:39" ht="18" customHeight="1">
      <c r="C10" s="918" t="s">
        <v>447</v>
      </c>
      <c r="D10" s="953">
        <v>114946</v>
      </c>
      <c r="E10" s="954">
        <v>2733</v>
      </c>
      <c r="F10" s="955">
        <v>94028</v>
      </c>
      <c r="G10" s="954">
        <v>18185</v>
      </c>
    </row>
    <row r="11" spans="2:39" ht="18" customHeight="1">
      <c r="C11" s="547" t="s">
        <v>448</v>
      </c>
      <c r="D11" s="916">
        <v>117483</v>
      </c>
      <c r="E11" s="537">
        <v>2883</v>
      </c>
      <c r="F11" s="917">
        <v>97654</v>
      </c>
      <c r="G11" s="538">
        <v>16946</v>
      </c>
    </row>
    <row r="12" spans="2:39" ht="18" customHeight="1">
      <c r="C12" s="918" t="s">
        <v>449</v>
      </c>
      <c r="D12" s="953">
        <v>115721</v>
      </c>
      <c r="E12" s="954">
        <v>3439</v>
      </c>
      <c r="F12" s="955">
        <v>97267</v>
      </c>
      <c r="G12" s="954">
        <v>15015</v>
      </c>
    </row>
    <row r="13" spans="2:39" ht="18" customHeight="1">
      <c r="C13" s="547" t="s">
        <v>450</v>
      </c>
      <c r="D13" s="916">
        <v>116853</v>
      </c>
      <c r="E13" s="537">
        <v>3840</v>
      </c>
      <c r="F13" s="917">
        <v>99606</v>
      </c>
      <c r="G13" s="538">
        <v>13407</v>
      </c>
    </row>
    <row r="14" spans="2:39" ht="18" customHeight="1">
      <c r="C14" s="918" t="s">
        <v>451</v>
      </c>
      <c r="D14" s="953">
        <v>119463</v>
      </c>
      <c r="E14" s="954">
        <v>4128</v>
      </c>
      <c r="F14" s="955">
        <v>103047</v>
      </c>
      <c r="G14" s="954">
        <v>12288</v>
      </c>
    </row>
    <row r="15" spans="2:39" ht="18" customHeight="1">
      <c r="C15" s="547" t="s">
        <v>452</v>
      </c>
      <c r="D15" s="916">
        <v>116747</v>
      </c>
      <c r="E15" s="537">
        <v>4702</v>
      </c>
      <c r="F15" s="917">
        <v>101822</v>
      </c>
      <c r="G15" s="538">
        <v>10223</v>
      </c>
    </row>
    <row r="16" spans="2:39" ht="18" customHeight="1">
      <c r="C16" s="918" t="s">
        <v>453</v>
      </c>
      <c r="D16" s="953">
        <v>113012</v>
      </c>
      <c r="E16" s="954">
        <v>4950</v>
      </c>
      <c r="F16" s="955">
        <v>98480</v>
      </c>
      <c r="G16" s="954">
        <v>9582</v>
      </c>
    </row>
    <row r="17" spans="3:7" ht="18" customHeight="1">
      <c r="C17" s="547" t="s">
        <v>454</v>
      </c>
      <c r="D17" s="916">
        <v>115680</v>
      </c>
      <c r="E17" s="537">
        <v>5696</v>
      </c>
      <c r="F17" s="917">
        <v>100710</v>
      </c>
      <c r="G17" s="538">
        <v>9274</v>
      </c>
    </row>
    <row r="22" spans="3:7">
      <c r="C22" s="2" t="s">
        <v>758</v>
      </c>
    </row>
  </sheetData>
  <mergeCells count="5">
    <mergeCell ref="C1:AM1"/>
    <mergeCell ref="D6:D7"/>
    <mergeCell ref="E6:E7"/>
    <mergeCell ref="F6:F7"/>
    <mergeCell ref="G6:G7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B1:AM21"/>
  <sheetViews>
    <sheetView topLeftCell="U1" workbookViewId="0">
      <selection activeCell="H35" sqref="H35"/>
    </sheetView>
  </sheetViews>
  <sheetFormatPr defaultRowHeight="15"/>
  <cols>
    <col min="1" max="1" width="2.28515625" customWidth="1"/>
    <col min="2" max="2" width="5.7109375" customWidth="1"/>
    <col min="3" max="3" width="12.7109375" customWidth="1"/>
    <col min="4" max="6" width="10.855468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220</v>
      </c>
    </row>
    <row r="5" spans="2:39" ht="17.25" customHeight="1">
      <c r="C5" s="91"/>
      <c r="D5" s="89"/>
      <c r="E5" s="89"/>
      <c r="F5" s="92"/>
    </row>
    <row r="6" spans="2:39" ht="16.5" customHeight="1">
      <c r="C6" s="1358" t="s">
        <v>441</v>
      </c>
      <c r="D6" s="1360" t="s">
        <v>442</v>
      </c>
      <c r="E6" s="1361"/>
      <c r="F6" s="1362"/>
    </row>
    <row r="7" spans="2:39" ht="25.5">
      <c r="C7" s="1359"/>
      <c r="D7" s="93" t="s">
        <v>443</v>
      </c>
      <c r="E7" s="94" t="s">
        <v>444</v>
      </c>
      <c r="F7" s="95" t="s">
        <v>445</v>
      </c>
    </row>
    <row r="8" spans="2:39" ht="18" customHeight="1">
      <c r="C8" s="956" t="s">
        <v>446</v>
      </c>
      <c r="D8" s="476">
        <v>78.84022887323944</v>
      </c>
      <c r="E8" s="476">
        <v>83.697089947089935</v>
      </c>
      <c r="F8" s="957">
        <v>34.759925991082532</v>
      </c>
    </row>
    <row r="9" spans="2:39" ht="18" customHeight="1">
      <c r="C9" s="532" t="s">
        <v>447</v>
      </c>
      <c r="D9" s="479">
        <v>82.290322580645153</v>
      </c>
      <c r="E9" s="479">
        <v>88.822115384615387</v>
      </c>
      <c r="F9" s="479">
        <v>38.331926599768671</v>
      </c>
    </row>
    <row r="10" spans="2:39" ht="18" customHeight="1">
      <c r="C10" s="956" t="s">
        <v>448</v>
      </c>
      <c r="D10" s="476">
        <v>83.435521157905313</v>
      </c>
      <c r="E10" s="476">
        <v>88.558467741935488</v>
      </c>
      <c r="F10" s="957">
        <v>41.625647254362974</v>
      </c>
    </row>
    <row r="11" spans="2:39" ht="18" customHeight="1">
      <c r="C11" s="532" t="s">
        <v>449</v>
      </c>
      <c r="D11" s="479">
        <v>82.714517514555695</v>
      </c>
      <c r="E11" s="479">
        <v>97.149743267316353</v>
      </c>
      <c r="F11" s="479">
        <v>52.117216647951601</v>
      </c>
    </row>
    <row r="12" spans="2:39" ht="18" customHeight="1">
      <c r="C12" s="956" t="s">
        <v>450</v>
      </c>
      <c r="D12" s="476">
        <v>78.177757927646269</v>
      </c>
      <c r="E12" s="476">
        <v>98.349868394411828</v>
      </c>
      <c r="F12" s="957">
        <v>57.268539495544481</v>
      </c>
    </row>
    <row r="13" spans="2:39" ht="18" customHeight="1">
      <c r="C13" s="532" t="s">
        <v>451</v>
      </c>
      <c r="D13" s="479">
        <v>67.599999999999994</v>
      </c>
      <c r="E13" s="479">
        <v>110.2</v>
      </c>
      <c r="F13" s="479">
        <v>64.5</v>
      </c>
    </row>
    <row r="14" spans="2:39" ht="18" customHeight="1">
      <c r="C14" s="956" t="s">
        <v>452</v>
      </c>
      <c r="D14" s="476">
        <v>59.9</v>
      </c>
      <c r="E14" s="476">
        <v>125.2</v>
      </c>
      <c r="F14" s="957">
        <v>81.8</v>
      </c>
    </row>
    <row r="15" spans="2:39" ht="18" customHeight="1">
      <c r="C15" s="532" t="s">
        <v>453</v>
      </c>
      <c r="D15" s="479">
        <v>77.7</v>
      </c>
      <c r="E15" s="479">
        <v>141.1</v>
      </c>
      <c r="F15" s="479">
        <v>88.5</v>
      </c>
    </row>
    <row r="16" spans="2:39" ht="18" customHeight="1">
      <c r="C16" s="956" t="s">
        <v>454</v>
      </c>
      <c r="D16" s="476">
        <v>77.099999999999994</v>
      </c>
      <c r="E16" s="476">
        <v>171.6</v>
      </c>
      <c r="F16" s="957">
        <v>101</v>
      </c>
    </row>
    <row r="21" spans="3:3">
      <c r="C21" s="2" t="s">
        <v>760</v>
      </c>
    </row>
  </sheetData>
  <mergeCells count="3">
    <mergeCell ref="C6:C7"/>
    <mergeCell ref="D6:F6"/>
    <mergeCell ref="C1:AM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B1:AM26"/>
  <sheetViews>
    <sheetView topLeftCell="U1" workbookViewId="0">
      <selection activeCell="C26" sqref="C26"/>
    </sheetView>
  </sheetViews>
  <sheetFormatPr defaultRowHeight="15"/>
  <cols>
    <col min="1" max="1" width="2.28515625" customWidth="1"/>
    <col min="2" max="2" width="5.7109375" customWidth="1"/>
    <col min="3" max="6" width="11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222</v>
      </c>
    </row>
    <row r="6" spans="2:39" ht="26.25" customHeight="1">
      <c r="C6" s="1213" t="s">
        <v>458</v>
      </c>
      <c r="D6" s="1151" t="s">
        <v>732</v>
      </c>
      <c r="E6" s="1151" t="s">
        <v>960</v>
      </c>
      <c r="F6" s="1152"/>
    </row>
    <row r="7" spans="2:39" ht="23.25" customHeight="1">
      <c r="C7" s="1363"/>
      <c r="D7" s="1364"/>
      <c r="E7" s="963" t="s">
        <v>471</v>
      </c>
      <c r="F7" s="964" t="s">
        <v>472</v>
      </c>
    </row>
    <row r="8" spans="2:39" ht="4.5" customHeight="1">
      <c r="C8" s="965"/>
      <c r="D8" s="966"/>
      <c r="E8" s="708"/>
      <c r="F8" s="708"/>
    </row>
    <row r="9" spans="2:39" ht="18.75" customHeight="1">
      <c r="C9" s="967">
        <v>2001</v>
      </c>
      <c r="D9" s="968">
        <v>35740</v>
      </c>
      <c r="E9" s="969">
        <v>24296</v>
      </c>
      <c r="F9" s="969">
        <v>11444</v>
      </c>
    </row>
    <row r="10" spans="2:39" ht="18.75" customHeight="1">
      <c r="C10" s="970">
        <v>2002</v>
      </c>
      <c r="D10" s="812">
        <v>36191</v>
      </c>
      <c r="E10" s="779">
        <v>24570</v>
      </c>
      <c r="F10" s="971">
        <v>11621</v>
      </c>
    </row>
    <row r="11" spans="2:39" ht="18.75" customHeight="1">
      <c r="C11" s="972">
        <v>2003</v>
      </c>
      <c r="D11" s="973">
        <v>36402</v>
      </c>
      <c r="E11" s="781">
        <v>24794</v>
      </c>
      <c r="F11" s="781">
        <v>11608</v>
      </c>
    </row>
    <row r="12" spans="2:39" ht="18.75" customHeight="1">
      <c r="C12" s="970">
        <v>2004</v>
      </c>
      <c r="D12" s="812">
        <v>36773</v>
      </c>
      <c r="E12" s="779">
        <v>25368</v>
      </c>
      <c r="F12" s="971">
        <v>11405</v>
      </c>
    </row>
    <row r="13" spans="2:39" ht="18.75" customHeight="1">
      <c r="C13" s="972">
        <v>2005</v>
      </c>
      <c r="D13" s="973">
        <v>37434</v>
      </c>
      <c r="E13" s="781">
        <v>26214</v>
      </c>
      <c r="F13" s="781">
        <v>11220</v>
      </c>
    </row>
    <row r="14" spans="2:39" ht="18.75" customHeight="1">
      <c r="C14" s="970">
        <v>2006</v>
      </c>
      <c r="D14" s="812">
        <v>36069</v>
      </c>
      <c r="E14" s="779">
        <v>25415</v>
      </c>
      <c r="F14" s="971">
        <v>10654</v>
      </c>
    </row>
    <row r="15" spans="2:39" ht="18.75" customHeight="1">
      <c r="C15" s="972">
        <v>2007</v>
      </c>
      <c r="D15" s="973">
        <v>35178</v>
      </c>
      <c r="E15" s="781">
        <v>24831</v>
      </c>
      <c r="F15" s="781">
        <v>10347</v>
      </c>
    </row>
    <row r="16" spans="2:39" ht="18.75" customHeight="1">
      <c r="C16" s="970">
        <v>2008</v>
      </c>
      <c r="D16" s="812">
        <v>35380</v>
      </c>
      <c r="E16" s="779">
        <v>24728</v>
      </c>
      <c r="F16" s="971">
        <v>10652</v>
      </c>
    </row>
    <row r="26" spans="3:3">
      <c r="C26" s="2" t="s">
        <v>961</v>
      </c>
    </row>
  </sheetData>
  <mergeCells count="4">
    <mergeCell ref="C1:AM1"/>
    <mergeCell ref="C6:C7"/>
    <mergeCell ref="D6:D7"/>
    <mergeCell ref="E6:F6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B1:AM42"/>
  <sheetViews>
    <sheetView workbookViewId="0"/>
  </sheetViews>
  <sheetFormatPr defaultRowHeight="15"/>
  <cols>
    <col min="1" max="1" width="2.28515625" customWidth="1"/>
    <col min="2" max="2" width="5.7109375" customWidth="1"/>
    <col min="3" max="3" width="10.7109375" customWidth="1"/>
    <col min="4" max="4" width="13.140625" customWidth="1"/>
    <col min="5" max="5" width="14.140625" customWidth="1"/>
    <col min="6" max="13" width="11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224</v>
      </c>
    </row>
    <row r="5" spans="2:39" ht="30.75" customHeight="1">
      <c r="C5" s="1370" t="s">
        <v>470</v>
      </c>
      <c r="D5" s="1371"/>
      <c r="E5" s="974" t="s">
        <v>940</v>
      </c>
      <c r="F5" s="974">
        <v>2001</v>
      </c>
      <c r="G5" s="974">
        <v>2002</v>
      </c>
      <c r="H5" s="974">
        <v>2003</v>
      </c>
      <c r="I5" s="974">
        <v>2004</v>
      </c>
      <c r="J5" s="974">
        <v>2005</v>
      </c>
      <c r="K5" s="974">
        <v>2006</v>
      </c>
      <c r="L5" s="974">
        <v>2007</v>
      </c>
      <c r="M5" s="974">
        <v>2008</v>
      </c>
    </row>
    <row r="6" spans="2:39" ht="4.5" customHeight="1">
      <c r="C6" s="975"/>
      <c r="D6" s="881"/>
      <c r="E6" s="976"/>
      <c r="F6" s="976"/>
      <c r="G6" s="976"/>
      <c r="H6" s="976"/>
      <c r="I6" s="976"/>
      <c r="J6" s="976"/>
      <c r="K6" s="976"/>
      <c r="L6" s="976"/>
      <c r="M6" s="976"/>
    </row>
    <row r="7" spans="2:39" ht="17.25" customHeight="1">
      <c r="C7" s="1204" t="s">
        <v>471</v>
      </c>
      <c r="D7" s="1366" t="s">
        <v>882</v>
      </c>
      <c r="E7" s="977" t="s">
        <v>962</v>
      </c>
      <c r="F7" s="978">
        <v>6870</v>
      </c>
      <c r="G7" s="978">
        <v>7301</v>
      </c>
      <c r="H7" s="978">
        <v>7604</v>
      </c>
      <c r="I7" s="978">
        <v>8076</v>
      </c>
      <c r="J7" s="978">
        <v>8535</v>
      </c>
      <c r="K7" s="978">
        <v>8858</v>
      </c>
      <c r="L7" s="978">
        <v>9314</v>
      </c>
      <c r="M7" s="978">
        <v>9589</v>
      </c>
    </row>
    <row r="8" spans="2:39" ht="17.25" customHeight="1">
      <c r="C8" s="1358"/>
      <c r="D8" s="1367"/>
      <c r="E8" s="977" t="s">
        <v>963</v>
      </c>
      <c r="F8" s="978">
        <v>3870</v>
      </c>
      <c r="G8" s="978">
        <v>3803</v>
      </c>
      <c r="H8" s="978">
        <v>3684</v>
      </c>
      <c r="I8" s="978">
        <v>3481</v>
      </c>
      <c r="J8" s="978">
        <v>2731</v>
      </c>
      <c r="K8" s="978">
        <v>2459</v>
      </c>
      <c r="L8" s="978">
        <v>2138</v>
      </c>
      <c r="M8" s="978">
        <v>1888</v>
      </c>
    </row>
    <row r="9" spans="2:39" ht="17.25" customHeight="1">
      <c r="C9" s="1358"/>
      <c r="D9" s="1367"/>
      <c r="E9" s="977" t="s">
        <v>964</v>
      </c>
      <c r="F9" s="978">
        <v>3446</v>
      </c>
      <c r="G9" s="978">
        <v>3186</v>
      </c>
      <c r="H9" s="978">
        <v>3078</v>
      </c>
      <c r="I9" s="978">
        <v>3049</v>
      </c>
      <c r="J9" s="978">
        <v>3550</v>
      </c>
      <c r="K9" s="978">
        <v>3279</v>
      </c>
      <c r="L9" s="978">
        <v>3011</v>
      </c>
      <c r="M9" s="978">
        <v>2897</v>
      </c>
    </row>
    <row r="10" spans="2:39" ht="17.25" customHeight="1">
      <c r="C10" s="1358"/>
      <c r="D10" s="1367"/>
      <c r="E10" s="977" t="s">
        <v>965</v>
      </c>
      <c r="F10" s="978">
        <v>58</v>
      </c>
      <c r="G10" s="978">
        <v>54</v>
      </c>
      <c r="H10" s="978">
        <v>49</v>
      </c>
      <c r="I10" s="978">
        <v>49</v>
      </c>
      <c r="J10" s="978">
        <v>70</v>
      </c>
      <c r="K10" s="978">
        <v>58</v>
      </c>
      <c r="L10" s="978">
        <v>44</v>
      </c>
      <c r="M10" s="978">
        <v>38</v>
      </c>
    </row>
    <row r="11" spans="2:39" ht="17.25" customHeight="1">
      <c r="C11" s="1358"/>
      <c r="D11" s="1367"/>
      <c r="E11" s="979" t="s">
        <v>966</v>
      </c>
      <c r="F11" s="980">
        <v>211</v>
      </c>
      <c r="G11" s="980">
        <v>177</v>
      </c>
      <c r="H11" s="980">
        <v>175</v>
      </c>
      <c r="I11" s="980">
        <v>203</v>
      </c>
      <c r="J11" s="980">
        <v>98</v>
      </c>
      <c r="K11" s="980">
        <v>84</v>
      </c>
      <c r="L11" s="980">
        <v>59</v>
      </c>
      <c r="M11" s="980">
        <v>54</v>
      </c>
    </row>
    <row r="12" spans="2:39" ht="17.25" customHeight="1">
      <c r="C12" s="1358"/>
      <c r="D12" s="1368"/>
      <c r="E12" s="981" t="s">
        <v>469</v>
      </c>
      <c r="F12" s="982">
        <v>14455</v>
      </c>
      <c r="G12" s="982">
        <v>14521</v>
      </c>
      <c r="H12" s="982">
        <v>14590</v>
      </c>
      <c r="I12" s="982">
        <v>14858</v>
      </c>
      <c r="J12" s="982">
        <v>14984</v>
      </c>
      <c r="K12" s="982">
        <v>14738</v>
      </c>
      <c r="L12" s="982">
        <v>14566</v>
      </c>
      <c r="M12" s="983">
        <v>14466</v>
      </c>
    </row>
    <row r="13" spans="2:39" ht="17.25" customHeight="1">
      <c r="C13" s="1358"/>
      <c r="D13" s="1366" t="s">
        <v>883</v>
      </c>
      <c r="E13" s="984" t="s">
        <v>962</v>
      </c>
      <c r="F13" s="985">
        <v>692</v>
      </c>
      <c r="G13" s="985">
        <v>805</v>
      </c>
      <c r="H13" s="985">
        <v>908</v>
      </c>
      <c r="I13" s="985">
        <v>1052</v>
      </c>
      <c r="J13" s="985">
        <v>1248</v>
      </c>
      <c r="K13" s="985">
        <v>1394</v>
      </c>
      <c r="L13" s="985">
        <v>1532</v>
      </c>
      <c r="M13" s="985">
        <v>1750</v>
      </c>
    </row>
    <row r="14" spans="2:39" ht="17.25" customHeight="1">
      <c r="C14" s="1358"/>
      <c r="D14" s="1367"/>
      <c r="E14" s="977" t="s">
        <v>963</v>
      </c>
      <c r="F14" s="978">
        <v>3373</v>
      </c>
      <c r="G14" s="978">
        <v>3644</v>
      </c>
      <c r="H14" s="978">
        <v>3846</v>
      </c>
      <c r="I14" s="978">
        <v>4082</v>
      </c>
      <c r="J14" s="978">
        <v>4213</v>
      </c>
      <c r="K14" s="978">
        <v>4211</v>
      </c>
      <c r="L14" s="978">
        <v>4116</v>
      </c>
      <c r="M14" s="978">
        <v>4198</v>
      </c>
    </row>
    <row r="15" spans="2:39" ht="17.25" customHeight="1">
      <c r="C15" s="1358"/>
      <c r="D15" s="1367"/>
      <c r="E15" s="977" t="s">
        <v>964</v>
      </c>
      <c r="F15" s="978">
        <v>5066</v>
      </c>
      <c r="G15" s="978">
        <v>4977</v>
      </c>
      <c r="H15" s="978">
        <v>4872</v>
      </c>
      <c r="I15" s="978">
        <v>4834</v>
      </c>
      <c r="J15" s="978">
        <v>5138</v>
      </c>
      <c r="K15" s="978">
        <v>4540</v>
      </c>
      <c r="L15" s="978">
        <v>4201</v>
      </c>
      <c r="M15" s="978">
        <v>4056</v>
      </c>
    </row>
    <row r="16" spans="2:39" ht="17.25" customHeight="1">
      <c r="C16" s="1358"/>
      <c r="D16" s="1367"/>
      <c r="E16" s="977" t="s">
        <v>965</v>
      </c>
      <c r="F16" s="978">
        <v>530</v>
      </c>
      <c r="G16" s="978">
        <v>425</v>
      </c>
      <c r="H16" s="978">
        <v>387</v>
      </c>
      <c r="I16" s="978">
        <v>370</v>
      </c>
      <c r="J16" s="978">
        <v>506</v>
      </c>
      <c r="K16" s="978">
        <v>420</v>
      </c>
      <c r="L16" s="978">
        <v>293</v>
      </c>
      <c r="M16" s="978">
        <v>151</v>
      </c>
    </row>
    <row r="17" spans="3:13" ht="17.25" customHeight="1">
      <c r="C17" s="1358"/>
      <c r="D17" s="1367"/>
      <c r="E17" s="979" t="s">
        <v>966</v>
      </c>
      <c r="F17" s="980">
        <v>180</v>
      </c>
      <c r="G17" s="980">
        <v>198</v>
      </c>
      <c r="H17" s="980">
        <v>191</v>
      </c>
      <c r="I17" s="980">
        <v>172</v>
      </c>
      <c r="J17" s="980">
        <v>125</v>
      </c>
      <c r="K17" s="980">
        <v>112</v>
      </c>
      <c r="L17" s="980">
        <v>123</v>
      </c>
      <c r="M17" s="980">
        <v>107</v>
      </c>
    </row>
    <row r="18" spans="3:13" ht="17.25" customHeight="1">
      <c r="C18" s="1365"/>
      <c r="D18" s="1368"/>
      <c r="E18" s="986" t="s">
        <v>469</v>
      </c>
      <c r="F18" s="987">
        <v>9841</v>
      </c>
      <c r="G18" s="987">
        <v>10049</v>
      </c>
      <c r="H18" s="987">
        <v>10204</v>
      </c>
      <c r="I18" s="987">
        <v>10510</v>
      </c>
      <c r="J18" s="987">
        <v>11230</v>
      </c>
      <c r="K18" s="987">
        <v>10677</v>
      </c>
      <c r="L18" s="987">
        <v>10265</v>
      </c>
      <c r="M18" s="988">
        <v>10262</v>
      </c>
    </row>
    <row r="19" spans="3:13" ht="4.5" customHeight="1">
      <c r="C19" s="989"/>
      <c r="D19" s="990"/>
      <c r="E19" s="991"/>
      <c r="F19" s="992"/>
      <c r="G19" s="802"/>
      <c r="H19" s="802"/>
      <c r="I19" s="802"/>
      <c r="J19" s="802"/>
      <c r="K19" s="802"/>
      <c r="L19" s="802"/>
      <c r="M19" s="802"/>
    </row>
    <row r="20" spans="3:13" ht="17.25" customHeight="1">
      <c r="C20" s="1204" t="s">
        <v>472</v>
      </c>
      <c r="D20" s="1366" t="s">
        <v>882</v>
      </c>
      <c r="E20" s="977" t="s">
        <v>962</v>
      </c>
      <c r="F20" s="978">
        <v>1606</v>
      </c>
      <c r="G20" s="978">
        <v>1689</v>
      </c>
      <c r="H20" s="978">
        <v>1724</v>
      </c>
      <c r="I20" s="978">
        <v>1756</v>
      </c>
      <c r="J20" s="978">
        <v>1850</v>
      </c>
      <c r="K20" s="978">
        <v>1896</v>
      </c>
      <c r="L20" s="978">
        <v>1968</v>
      </c>
      <c r="M20" s="978">
        <v>2203</v>
      </c>
    </row>
    <row r="21" spans="3:13" ht="17.25" customHeight="1">
      <c r="C21" s="1358"/>
      <c r="D21" s="1367"/>
      <c r="E21" s="977" t="s">
        <v>963</v>
      </c>
      <c r="F21" s="978">
        <v>2348</v>
      </c>
      <c r="G21" s="978">
        <v>2393</v>
      </c>
      <c r="H21" s="978">
        <v>2374</v>
      </c>
      <c r="I21" s="978">
        <v>2306</v>
      </c>
      <c r="J21" s="978">
        <v>2179</v>
      </c>
      <c r="K21" s="978">
        <v>2062</v>
      </c>
      <c r="L21" s="978">
        <v>1993</v>
      </c>
      <c r="M21" s="978">
        <v>1997</v>
      </c>
    </row>
    <row r="22" spans="3:13" ht="17.25" customHeight="1">
      <c r="C22" s="1358"/>
      <c r="D22" s="1367"/>
      <c r="E22" s="977" t="s">
        <v>964</v>
      </c>
      <c r="F22" s="978">
        <v>3419</v>
      </c>
      <c r="G22" s="978">
        <v>3240</v>
      </c>
      <c r="H22" s="978">
        <v>3157</v>
      </c>
      <c r="I22" s="978">
        <v>3024</v>
      </c>
      <c r="J22" s="978">
        <v>2967</v>
      </c>
      <c r="K22" s="978">
        <v>2618</v>
      </c>
      <c r="L22" s="978">
        <v>2337</v>
      </c>
      <c r="M22" s="978">
        <v>2248</v>
      </c>
    </row>
    <row r="23" spans="3:13" ht="17.25" customHeight="1">
      <c r="C23" s="1358"/>
      <c r="D23" s="1367"/>
      <c r="E23" s="977" t="s">
        <v>965</v>
      </c>
      <c r="F23" s="978">
        <v>69</v>
      </c>
      <c r="G23" s="978">
        <v>55</v>
      </c>
      <c r="H23" s="978">
        <v>55</v>
      </c>
      <c r="I23" s="978">
        <v>42</v>
      </c>
      <c r="J23" s="978">
        <v>54</v>
      </c>
      <c r="K23" s="978">
        <v>49</v>
      </c>
      <c r="L23" s="978">
        <v>39</v>
      </c>
      <c r="M23" s="978">
        <v>36</v>
      </c>
    </row>
    <row r="24" spans="3:13" ht="17.25" customHeight="1">
      <c r="C24" s="1358"/>
      <c r="D24" s="1367"/>
      <c r="E24" s="979" t="s">
        <v>966</v>
      </c>
      <c r="F24" s="980">
        <v>76</v>
      </c>
      <c r="G24" s="980">
        <v>87</v>
      </c>
      <c r="H24" s="980">
        <v>108</v>
      </c>
      <c r="I24" s="980">
        <v>116</v>
      </c>
      <c r="J24" s="980">
        <v>34</v>
      </c>
      <c r="K24" s="980">
        <v>35</v>
      </c>
      <c r="L24" s="980">
        <v>35</v>
      </c>
      <c r="M24" s="980">
        <v>35</v>
      </c>
    </row>
    <row r="25" spans="3:13" ht="17.25" customHeight="1">
      <c r="C25" s="1358"/>
      <c r="D25" s="1368"/>
      <c r="E25" s="981" t="s">
        <v>469</v>
      </c>
      <c r="F25" s="982">
        <v>7518</v>
      </c>
      <c r="G25" s="982">
        <v>7464</v>
      </c>
      <c r="H25" s="982">
        <v>7418</v>
      </c>
      <c r="I25" s="982">
        <v>7244</v>
      </c>
      <c r="J25" s="982">
        <v>7084</v>
      </c>
      <c r="K25" s="982">
        <v>6660</v>
      </c>
      <c r="L25" s="982">
        <v>6372</v>
      </c>
      <c r="M25" s="983">
        <v>6519</v>
      </c>
    </row>
    <row r="26" spans="3:13" ht="17.25" customHeight="1">
      <c r="C26" s="1358"/>
      <c r="D26" s="1366" t="s">
        <v>883</v>
      </c>
      <c r="E26" s="984" t="s">
        <v>962</v>
      </c>
      <c r="F26" s="985">
        <v>297</v>
      </c>
      <c r="G26" s="985">
        <v>378</v>
      </c>
      <c r="H26" s="985">
        <v>421</v>
      </c>
      <c r="I26" s="985">
        <v>427</v>
      </c>
      <c r="J26" s="985">
        <v>457</v>
      </c>
      <c r="K26" s="985">
        <v>491</v>
      </c>
      <c r="L26" s="985">
        <v>560</v>
      </c>
      <c r="M26" s="985">
        <v>663</v>
      </c>
    </row>
    <row r="27" spans="3:13" ht="17.25" customHeight="1">
      <c r="C27" s="1358"/>
      <c r="D27" s="1367"/>
      <c r="E27" s="977" t="s">
        <v>963</v>
      </c>
      <c r="F27" s="978">
        <v>1244</v>
      </c>
      <c r="G27" s="978">
        <v>1322</v>
      </c>
      <c r="H27" s="978">
        <v>1322</v>
      </c>
      <c r="I27" s="978">
        <v>1310</v>
      </c>
      <c r="J27" s="978">
        <v>1350</v>
      </c>
      <c r="K27" s="978">
        <v>1318</v>
      </c>
      <c r="L27" s="978">
        <v>1337</v>
      </c>
      <c r="M27" s="978">
        <v>1389</v>
      </c>
    </row>
    <row r="28" spans="3:13" ht="17.25" customHeight="1">
      <c r="C28" s="1358"/>
      <c r="D28" s="1367"/>
      <c r="E28" s="977" t="s">
        <v>964</v>
      </c>
      <c r="F28" s="978">
        <v>2157</v>
      </c>
      <c r="G28" s="978">
        <v>2261</v>
      </c>
      <c r="H28" s="978">
        <v>2263</v>
      </c>
      <c r="I28" s="978">
        <v>2295</v>
      </c>
      <c r="J28" s="978">
        <v>2250</v>
      </c>
      <c r="K28" s="978">
        <v>2112</v>
      </c>
      <c r="L28" s="978">
        <v>2013</v>
      </c>
      <c r="M28" s="978">
        <v>2016</v>
      </c>
    </row>
    <row r="29" spans="3:13" ht="17.25" customHeight="1">
      <c r="C29" s="1358"/>
      <c r="D29" s="1367"/>
      <c r="E29" s="977" t="s">
        <v>965</v>
      </c>
      <c r="F29" s="978">
        <v>140</v>
      </c>
      <c r="G29" s="978">
        <v>112</v>
      </c>
      <c r="H29" s="978">
        <v>85</v>
      </c>
      <c r="I29" s="978">
        <v>68</v>
      </c>
      <c r="J29" s="978">
        <v>57</v>
      </c>
      <c r="K29" s="978">
        <v>51</v>
      </c>
      <c r="L29" s="978">
        <v>44</v>
      </c>
      <c r="M29" s="978">
        <v>36</v>
      </c>
    </row>
    <row r="30" spans="3:13" ht="17.25" customHeight="1">
      <c r="C30" s="1358"/>
      <c r="D30" s="1367"/>
      <c r="E30" s="979" t="s">
        <v>966</v>
      </c>
      <c r="F30" s="980">
        <v>88</v>
      </c>
      <c r="G30" s="980">
        <v>84</v>
      </c>
      <c r="H30" s="980">
        <v>99</v>
      </c>
      <c r="I30" s="980">
        <v>61</v>
      </c>
      <c r="J30" s="980">
        <v>22</v>
      </c>
      <c r="K30" s="980">
        <v>22</v>
      </c>
      <c r="L30" s="980">
        <v>21</v>
      </c>
      <c r="M30" s="980">
        <v>29</v>
      </c>
    </row>
    <row r="31" spans="3:13" ht="17.25" customHeight="1">
      <c r="C31" s="1365"/>
      <c r="D31" s="1368"/>
      <c r="E31" s="986" t="s">
        <v>469</v>
      </c>
      <c r="F31" s="987">
        <v>3926</v>
      </c>
      <c r="G31" s="987">
        <v>4157</v>
      </c>
      <c r="H31" s="987">
        <v>4190</v>
      </c>
      <c r="I31" s="987">
        <v>4161</v>
      </c>
      <c r="J31" s="987">
        <v>4136</v>
      </c>
      <c r="K31" s="987">
        <v>3994</v>
      </c>
      <c r="L31" s="987">
        <v>3975</v>
      </c>
      <c r="M31" s="988">
        <v>4133</v>
      </c>
    </row>
    <row r="32" spans="3:13" ht="6" customHeight="1"/>
    <row r="33" spans="3:13" s="453" customFormat="1" ht="18" customHeight="1">
      <c r="D33" s="1369" t="s">
        <v>732</v>
      </c>
      <c r="E33" s="994" t="s">
        <v>962</v>
      </c>
      <c r="F33" s="996">
        <v>9465</v>
      </c>
      <c r="G33" s="996">
        <v>10173</v>
      </c>
      <c r="H33" s="996">
        <v>10657</v>
      </c>
      <c r="I33" s="996">
        <v>11311</v>
      </c>
      <c r="J33" s="996">
        <v>12090</v>
      </c>
      <c r="K33" s="996">
        <v>12639</v>
      </c>
      <c r="L33" s="996">
        <v>13374</v>
      </c>
      <c r="M33" s="996">
        <v>14205</v>
      </c>
    </row>
    <row r="34" spans="3:13" s="453" customFormat="1" ht="18" customHeight="1">
      <c r="D34" s="1369"/>
      <c r="E34" s="995" t="s">
        <v>963</v>
      </c>
      <c r="F34" s="996">
        <v>10835</v>
      </c>
      <c r="G34" s="996">
        <v>11162</v>
      </c>
      <c r="H34" s="996">
        <v>11226</v>
      </c>
      <c r="I34" s="996">
        <v>11179</v>
      </c>
      <c r="J34" s="996">
        <v>10473</v>
      </c>
      <c r="K34" s="996">
        <v>10050</v>
      </c>
      <c r="L34" s="996">
        <v>9584</v>
      </c>
      <c r="M34" s="996">
        <v>9472</v>
      </c>
    </row>
    <row r="35" spans="3:13" s="453" customFormat="1" ht="18" customHeight="1">
      <c r="D35" s="1369"/>
      <c r="E35" s="995" t="s">
        <v>964</v>
      </c>
      <c r="F35" s="996">
        <v>14088</v>
      </c>
      <c r="G35" s="996">
        <v>13664</v>
      </c>
      <c r="H35" s="996">
        <v>13370</v>
      </c>
      <c r="I35" s="996">
        <v>13202</v>
      </c>
      <c r="J35" s="996">
        <v>13905</v>
      </c>
      <c r="K35" s="996">
        <v>12549</v>
      </c>
      <c r="L35" s="996">
        <v>11562</v>
      </c>
      <c r="M35" s="996">
        <v>11217</v>
      </c>
    </row>
    <row r="36" spans="3:13" s="453" customFormat="1" ht="18" customHeight="1">
      <c r="D36" s="1369"/>
      <c r="E36" s="995" t="s">
        <v>965</v>
      </c>
      <c r="F36" s="996">
        <v>797</v>
      </c>
      <c r="G36" s="996">
        <v>646</v>
      </c>
      <c r="H36" s="996">
        <v>576</v>
      </c>
      <c r="I36" s="996">
        <v>529</v>
      </c>
      <c r="J36" s="996">
        <v>687</v>
      </c>
      <c r="K36" s="996">
        <v>578</v>
      </c>
      <c r="L36" s="996">
        <v>420</v>
      </c>
      <c r="M36" s="996">
        <v>261</v>
      </c>
    </row>
    <row r="37" spans="3:13" s="453" customFormat="1" ht="18" customHeight="1">
      <c r="D37" s="1369"/>
      <c r="E37" s="993" t="s">
        <v>966</v>
      </c>
      <c r="F37" s="997">
        <v>555</v>
      </c>
      <c r="G37" s="997">
        <v>546</v>
      </c>
      <c r="H37" s="997">
        <v>573</v>
      </c>
      <c r="I37" s="997">
        <v>552</v>
      </c>
      <c r="J37" s="997">
        <v>279</v>
      </c>
      <c r="K37" s="997">
        <v>253</v>
      </c>
      <c r="L37" s="997">
        <v>238</v>
      </c>
      <c r="M37" s="997">
        <v>225</v>
      </c>
    </row>
    <row r="38" spans="3:13" ht="18.75" customHeight="1">
      <c r="D38" s="999"/>
      <c r="E38" s="998" t="s">
        <v>469</v>
      </c>
      <c r="F38" s="843">
        <v>35740</v>
      </c>
      <c r="G38" s="843">
        <v>36191</v>
      </c>
      <c r="H38" s="843">
        <v>36402</v>
      </c>
      <c r="I38" s="843">
        <v>36773</v>
      </c>
      <c r="J38" s="843">
        <v>37434</v>
      </c>
      <c r="K38" s="843">
        <v>36069</v>
      </c>
      <c r="L38" s="843">
        <v>35178</v>
      </c>
      <c r="M38" s="844">
        <v>35380</v>
      </c>
    </row>
    <row r="40" spans="3:13">
      <c r="F40" s="886"/>
      <c r="G40" s="886"/>
      <c r="H40" s="886"/>
      <c r="I40" s="886"/>
      <c r="J40" s="886"/>
      <c r="K40" s="886"/>
      <c r="L40" s="886"/>
      <c r="M40" s="886"/>
    </row>
    <row r="42" spans="3:13">
      <c r="C42" s="2" t="s">
        <v>961</v>
      </c>
    </row>
  </sheetData>
  <mergeCells count="9">
    <mergeCell ref="C20:C31"/>
    <mergeCell ref="D20:D25"/>
    <mergeCell ref="D26:D31"/>
    <mergeCell ref="D33:D37"/>
    <mergeCell ref="C1:AM1"/>
    <mergeCell ref="C5:D5"/>
    <mergeCell ref="C7:C18"/>
    <mergeCell ref="D7:D12"/>
    <mergeCell ref="D13:D18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B1:AM25"/>
  <sheetViews>
    <sheetView workbookViewId="0"/>
  </sheetViews>
  <sheetFormatPr defaultRowHeight="15"/>
  <cols>
    <col min="1" max="1" width="2.28515625" customWidth="1"/>
    <col min="2" max="2" width="5.7109375" customWidth="1"/>
    <col min="3" max="9" width="10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226</v>
      </c>
    </row>
    <row r="6" spans="2:39" ht="22.5" customHeight="1" thickBot="1">
      <c r="C6" s="1000"/>
      <c r="D6" s="1372" t="s">
        <v>967</v>
      </c>
      <c r="E6" s="1373"/>
      <c r="F6" s="1373" t="s">
        <v>606</v>
      </c>
      <c r="G6" s="1373"/>
      <c r="H6" s="1373" t="s">
        <v>968</v>
      </c>
      <c r="I6" s="1374"/>
    </row>
    <row r="7" spans="2:39" ht="21" customHeight="1">
      <c r="C7" s="1001" t="s">
        <v>969</v>
      </c>
      <c r="D7" s="1008" t="s">
        <v>471</v>
      </c>
      <c r="E7" s="1009" t="s">
        <v>472</v>
      </c>
      <c r="F7" s="1008" t="s">
        <v>471</v>
      </c>
      <c r="G7" s="1009" t="s">
        <v>472</v>
      </c>
      <c r="H7" s="1008" t="s">
        <v>471</v>
      </c>
      <c r="I7" s="1013" t="s">
        <v>472</v>
      </c>
    </row>
    <row r="8" spans="2:39" ht="18" customHeight="1">
      <c r="C8" s="1002" t="s">
        <v>681</v>
      </c>
      <c r="D8" s="1003">
        <v>18406</v>
      </c>
      <c r="E8" s="1004">
        <v>7558</v>
      </c>
      <c r="F8" s="1005">
        <v>18163</v>
      </c>
      <c r="G8" s="1006">
        <v>7699</v>
      </c>
      <c r="H8" s="1003">
        <v>18265</v>
      </c>
      <c r="I8" s="1004">
        <v>8985</v>
      </c>
    </row>
    <row r="9" spans="2:39" ht="18" customHeight="1">
      <c r="C9" s="1002" t="s">
        <v>682</v>
      </c>
      <c r="D9" s="1003">
        <v>13268</v>
      </c>
      <c r="E9" s="1004">
        <v>5432</v>
      </c>
      <c r="F9" s="1005">
        <v>13161</v>
      </c>
      <c r="G9" s="1006">
        <v>5475</v>
      </c>
      <c r="H9" s="1003">
        <v>12911</v>
      </c>
      <c r="I9" s="1004">
        <v>6702</v>
      </c>
    </row>
    <row r="10" spans="2:39" ht="18" customHeight="1">
      <c r="C10" s="1002" t="s">
        <v>659</v>
      </c>
      <c r="D10" s="1003">
        <v>12524</v>
      </c>
      <c r="E10" s="1004">
        <v>8814</v>
      </c>
      <c r="F10" s="1005">
        <v>12461</v>
      </c>
      <c r="G10" s="1006">
        <v>9086</v>
      </c>
      <c r="H10" s="1003">
        <v>12248</v>
      </c>
      <c r="I10" s="1004">
        <v>9956</v>
      </c>
    </row>
    <row r="11" spans="2:39" ht="18" customHeight="1">
      <c r="C11" s="1002" t="s">
        <v>684</v>
      </c>
      <c r="D11" s="1003">
        <v>4866</v>
      </c>
      <c r="E11" s="1004">
        <v>1495</v>
      </c>
      <c r="F11" s="1005">
        <v>4821</v>
      </c>
      <c r="G11" s="1006">
        <v>1478</v>
      </c>
      <c r="H11" s="1003">
        <v>4734</v>
      </c>
      <c r="I11" s="1004">
        <v>1583</v>
      </c>
    </row>
    <row r="12" spans="2:39" ht="18" customHeight="1">
      <c r="C12" s="1002" t="s">
        <v>685</v>
      </c>
      <c r="D12" s="1003">
        <v>2707</v>
      </c>
      <c r="E12" s="1004">
        <v>896</v>
      </c>
      <c r="F12" s="1005">
        <v>2713</v>
      </c>
      <c r="G12" s="1006">
        <v>952</v>
      </c>
      <c r="H12" s="1003">
        <v>2689</v>
      </c>
      <c r="I12" s="1004">
        <v>984</v>
      </c>
    </row>
    <row r="13" spans="2:39" ht="20.25" customHeight="1" thickBot="1">
      <c r="C13" s="1007" t="s">
        <v>469</v>
      </c>
      <c r="D13" s="1010">
        <v>51771</v>
      </c>
      <c r="E13" s="1011">
        <v>24195</v>
      </c>
      <c r="F13" s="1010">
        <v>51319</v>
      </c>
      <c r="G13" s="1011">
        <v>24690</v>
      </c>
      <c r="H13" s="1010">
        <v>50847</v>
      </c>
      <c r="I13" s="1012">
        <v>28210</v>
      </c>
    </row>
    <row r="25" spans="3:3">
      <c r="C25" s="2" t="s">
        <v>970</v>
      </c>
    </row>
  </sheetData>
  <mergeCells count="4">
    <mergeCell ref="C1:AM1"/>
    <mergeCell ref="D6:E6"/>
    <mergeCell ref="F6:G6"/>
    <mergeCell ref="H6:I6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B1:AM26"/>
  <sheetViews>
    <sheetView workbookViewId="0"/>
  </sheetViews>
  <sheetFormatPr defaultRowHeight="15"/>
  <cols>
    <col min="1" max="1" width="2.28515625" customWidth="1"/>
    <col min="2" max="2" width="5.7109375" customWidth="1"/>
    <col min="3" max="9" width="10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228</v>
      </c>
    </row>
    <row r="6" spans="2:39" ht="22.5" customHeight="1" thickBot="1">
      <c r="C6" s="1000"/>
      <c r="D6" s="1372" t="s">
        <v>967</v>
      </c>
      <c r="E6" s="1373"/>
      <c r="F6" s="1373" t="s">
        <v>606</v>
      </c>
      <c r="G6" s="1373"/>
      <c r="H6" s="1373" t="s">
        <v>968</v>
      </c>
      <c r="I6" s="1374"/>
    </row>
    <row r="7" spans="2:39" ht="21" customHeight="1">
      <c r="C7" s="1001" t="s">
        <v>969</v>
      </c>
      <c r="D7" s="1008" t="s">
        <v>535</v>
      </c>
      <c r="E7" s="1009" t="s">
        <v>536</v>
      </c>
      <c r="F7" s="1008" t="s">
        <v>535</v>
      </c>
      <c r="G7" s="1009" t="s">
        <v>536</v>
      </c>
      <c r="H7" s="1008" t="s">
        <v>535</v>
      </c>
      <c r="I7" s="1013" t="s">
        <v>536</v>
      </c>
    </row>
    <row r="8" spans="2:39" ht="18" customHeight="1">
      <c r="C8" s="1014" t="s">
        <v>681</v>
      </c>
      <c r="D8" s="1015">
        <v>5042</v>
      </c>
      <c r="E8" s="1016">
        <v>20922</v>
      </c>
      <c r="F8" s="1015">
        <v>4867</v>
      </c>
      <c r="G8" s="1016">
        <v>20995</v>
      </c>
      <c r="H8" s="1015">
        <v>5169</v>
      </c>
      <c r="I8" s="1016">
        <v>22081</v>
      </c>
    </row>
    <row r="9" spans="2:39" ht="18" customHeight="1">
      <c r="C9" s="1014" t="s">
        <v>682</v>
      </c>
      <c r="D9" s="1015">
        <v>3194</v>
      </c>
      <c r="E9" s="1016">
        <v>15506</v>
      </c>
      <c r="F9" s="1015">
        <v>3147</v>
      </c>
      <c r="G9" s="1016">
        <v>15489</v>
      </c>
      <c r="H9" s="1015">
        <v>3339</v>
      </c>
      <c r="I9" s="1016">
        <v>16274</v>
      </c>
    </row>
    <row r="10" spans="2:39" ht="18" customHeight="1">
      <c r="C10" s="1014" t="s">
        <v>659</v>
      </c>
      <c r="D10" s="1015">
        <v>3123</v>
      </c>
      <c r="E10" s="1016">
        <v>18215</v>
      </c>
      <c r="F10" s="1015">
        <v>3092</v>
      </c>
      <c r="G10" s="1016">
        <v>18455</v>
      </c>
      <c r="H10" s="1015">
        <v>3098</v>
      </c>
      <c r="I10" s="1016">
        <v>19106</v>
      </c>
    </row>
    <row r="11" spans="2:39" ht="18" customHeight="1">
      <c r="C11" s="1014" t="s">
        <v>684</v>
      </c>
      <c r="D11" s="1015">
        <v>1085</v>
      </c>
      <c r="E11" s="1016">
        <v>5276</v>
      </c>
      <c r="F11" s="1015">
        <v>1026</v>
      </c>
      <c r="G11" s="1016">
        <v>5273</v>
      </c>
      <c r="H11" s="1015">
        <v>1030</v>
      </c>
      <c r="I11" s="1016">
        <v>5287</v>
      </c>
    </row>
    <row r="12" spans="2:39" ht="18" customHeight="1">
      <c r="C12" s="1014" t="s">
        <v>685</v>
      </c>
      <c r="D12" s="1015">
        <v>519</v>
      </c>
      <c r="E12" s="1016">
        <v>3084</v>
      </c>
      <c r="F12" s="1015">
        <v>508</v>
      </c>
      <c r="G12" s="1016">
        <v>3157</v>
      </c>
      <c r="H12" s="1015">
        <v>504</v>
      </c>
      <c r="I12" s="1016">
        <v>3169</v>
      </c>
    </row>
    <row r="13" spans="2:39" ht="20.25" customHeight="1" thickBot="1">
      <c r="C13" s="1017" t="s">
        <v>469</v>
      </c>
      <c r="D13" s="1010">
        <v>12963</v>
      </c>
      <c r="E13" s="1011">
        <v>63003</v>
      </c>
      <c r="F13" s="1010">
        <v>12640</v>
      </c>
      <c r="G13" s="1011">
        <v>63369</v>
      </c>
      <c r="H13" s="1010">
        <v>13140</v>
      </c>
      <c r="I13" s="1012">
        <v>65917</v>
      </c>
    </row>
    <row r="26" spans="3:3">
      <c r="C26" s="2" t="s">
        <v>970</v>
      </c>
    </row>
  </sheetData>
  <mergeCells count="4">
    <mergeCell ref="C1:AM1"/>
    <mergeCell ref="D6:E6"/>
    <mergeCell ref="F6:G6"/>
    <mergeCell ref="H6:I6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B1:AM26"/>
  <sheetViews>
    <sheetView workbookViewId="0">
      <selection activeCell="K28" sqref="K28"/>
    </sheetView>
  </sheetViews>
  <sheetFormatPr defaultRowHeight="15"/>
  <cols>
    <col min="1" max="1" width="2.28515625" customWidth="1"/>
    <col min="2" max="2" width="5.7109375" customWidth="1"/>
    <col min="3" max="5" width="11.7109375" customWidth="1"/>
    <col min="6" max="6" width="0.85546875" customWidth="1"/>
    <col min="7" max="16" width="9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230</v>
      </c>
    </row>
    <row r="4" spans="2:39" ht="15.75" thickBot="1"/>
    <row r="5" spans="2:39" ht="25.5" customHeight="1" thickBot="1">
      <c r="D5" s="1379" t="s">
        <v>440</v>
      </c>
      <c r="E5" s="1379"/>
      <c r="G5" s="1375" t="s">
        <v>731</v>
      </c>
      <c r="H5" s="1376"/>
      <c r="I5" s="1376" t="s">
        <v>730</v>
      </c>
      <c r="J5" s="1377"/>
      <c r="K5" s="1377" t="s">
        <v>729</v>
      </c>
      <c r="L5" s="1377"/>
      <c r="M5" s="1377" t="s">
        <v>972</v>
      </c>
      <c r="N5" s="1377"/>
      <c r="O5" s="1377" t="s">
        <v>973</v>
      </c>
      <c r="P5" s="1378"/>
    </row>
    <row r="6" spans="2:39" ht="30.75" customHeight="1">
      <c r="C6" s="1018" t="s">
        <v>458</v>
      </c>
      <c r="D6" s="1019" t="s">
        <v>469</v>
      </c>
      <c r="E6" s="1020" t="s">
        <v>971</v>
      </c>
      <c r="G6" s="1027" t="s">
        <v>469</v>
      </c>
      <c r="H6" s="1028" t="s">
        <v>971</v>
      </c>
      <c r="I6" s="1029" t="s">
        <v>469</v>
      </c>
      <c r="J6" s="1030" t="s">
        <v>971</v>
      </c>
      <c r="K6" s="1029" t="s">
        <v>469</v>
      </c>
      <c r="L6" s="1030" t="s">
        <v>971</v>
      </c>
      <c r="M6" s="1029" t="s">
        <v>469</v>
      </c>
      <c r="N6" s="1030" t="s">
        <v>971</v>
      </c>
      <c r="O6" s="1029" t="s">
        <v>469</v>
      </c>
      <c r="P6" s="1031" t="s">
        <v>971</v>
      </c>
    </row>
    <row r="7" spans="2:39" ht="18" customHeight="1">
      <c r="C7" s="1021">
        <v>1997</v>
      </c>
      <c r="D7" s="1023">
        <v>164</v>
      </c>
      <c r="E7" s="1023">
        <v>164</v>
      </c>
      <c r="G7" s="1033">
        <v>49</v>
      </c>
      <c r="H7" s="1034">
        <f>G7</f>
        <v>49</v>
      </c>
      <c r="I7" s="1033">
        <v>24</v>
      </c>
      <c r="J7" s="1034">
        <f>I7</f>
        <v>24</v>
      </c>
      <c r="K7" s="1033">
        <v>67</v>
      </c>
      <c r="L7" s="1034">
        <f>K7</f>
        <v>67</v>
      </c>
      <c r="M7" s="1033">
        <v>16</v>
      </c>
      <c r="N7" s="1034">
        <f>M7</f>
        <v>16</v>
      </c>
      <c r="O7" s="1033">
        <v>8</v>
      </c>
      <c r="P7" s="1034">
        <f>O7</f>
        <v>8</v>
      </c>
    </row>
    <row r="8" spans="2:39" ht="18" customHeight="1">
      <c r="C8" s="1022">
        <v>1998</v>
      </c>
      <c r="D8" s="1024">
        <v>164</v>
      </c>
      <c r="E8" s="1025">
        <v>328</v>
      </c>
      <c r="G8" s="1035">
        <v>55</v>
      </c>
      <c r="H8" s="1036">
        <f>H7+G8</f>
        <v>104</v>
      </c>
      <c r="I8" s="1037">
        <v>28</v>
      </c>
      <c r="J8" s="1036">
        <f>J7+I8</f>
        <v>52</v>
      </c>
      <c r="K8" s="1037">
        <v>52</v>
      </c>
      <c r="L8" s="1036">
        <f>L7+K8</f>
        <v>119</v>
      </c>
      <c r="M8" s="1037">
        <v>15</v>
      </c>
      <c r="N8" s="1036">
        <f>N7+M8</f>
        <v>31</v>
      </c>
      <c r="O8" s="1037">
        <v>14</v>
      </c>
      <c r="P8" s="1038">
        <f>P7+O8</f>
        <v>22</v>
      </c>
    </row>
    <row r="9" spans="2:39" ht="18" customHeight="1">
      <c r="C9" s="1021">
        <v>1999</v>
      </c>
      <c r="D9" s="1023">
        <v>208</v>
      </c>
      <c r="E9" s="1023">
        <v>536</v>
      </c>
      <c r="G9" s="1033">
        <v>62</v>
      </c>
      <c r="H9" s="1034">
        <f>H8+G9</f>
        <v>166</v>
      </c>
      <c r="I9" s="1033">
        <v>40</v>
      </c>
      <c r="J9" s="1034">
        <f t="shared" ref="J9:J20" si="0">J8+I9</f>
        <v>92</v>
      </c>
      <c r="K9" s="1033">
        <v>73</v>
      </c>
      <c r="L9" s="1034">
        <f t="shared" ref="L9:L20" si="1">L8+K9</f>
        <v>192</v>
      </c>
      <c r="M9" s="1033">
        <v>19</v>
      </c>
      <c r="N9" s="1034">
        <f t="shared" ref="N9:N20" si="2">N8+M9</f>
        <v>50</v>
      </c>
      <c r="O9" s="1033">
        <v>14</v>
      </c>
      <c r="P9" s="1034">
        <f t="shared" ref="P9:P20" si="3">P8+O9</f>
        <v>36</v>
      </c>
    </row>
    <row r="10" spans="2:39" ht="18" customHeight="1">
      <c r="C10" s="1022">
        <v>2000</v>
      </c>
      <c r="D10" s="1024">
        <v>209</v>
      </c>
      <c r="E10" s="1025">
        <v>745</v>
      </c>
      <c r="G10" s="1035">
        <v>76</v>
      </c>
      <c r="H10" s="1036">
        <f t="shared" ref="H10:H20" si="4">H9+G10</f>
        <v>242</v>
      </c>
      <c r="I10" s="1037">
        <v>39</v>
      </c>
      <c r="J10" s="1036">
        <f t="shared" si="0"/>
        <v>131</v>
      </c>
      <c r="K10" s="1037">
        <v>72</v>
      </c>
      <c r="L10" s="1036">
        <f t="shared" si="1"/>
        <v>264</v>
      </c>
      <c r="M10" s="1037">
        <v>11</v>
      </c>
      <c r="N10" s="1036">
        <f t="shared" si="2"/>
        <v>61</v>
      </c>
      <c r="O10" s="1037">
        <v>11</v>
      </c>
      <c r="P10" s="1038">
        <f t="shared" si="3"/>
        <v>47</v>
      </c>
    </row>
    <row r="11" spans="2:39" ht="18" customHeight="1">
      <c r="C11" s="1021">
        <v>2001</v>
      </c>
      <c r="D11" s="1023">
        <v>108</v>
      </c>
      <c r="E11" s="1023">
        <v>853</v>
      </c>
      <c r="G11" s="1033">
        <v>40</v>
      </c>
      <c r="H11" s="1034">
        <f t="shared" si="4"/>
        <v>282</v>
      </c>
      <c r="I11" s="1033">
        <v>17</v>
      </c>
      <c r="J11" s="1034">
        <f t="shared" si="0"/>
        <v>148</v>
      </c>
      <c r="K11" s="1033">
        <v>37</v>
      </c>
      <c r="L11" s="1034">
        <f t="shared" si="1"/>
        <v>301</v>
      </c>
      <c r="M11" s="1033">
        <v>6</v>
      </c>
      <c r="N11" s="1034">
        <f t="shared" si="2"/>
        <v>67</v>
      </c>
      <c r="O11" s="1033">
        <v>8</v>
      </c>
      <c r="P11" s="1034">
        <f t="shared" si="3"/>
        <v>55</v>
      </c>
    </row>
    <row r="12" spans="2:39" ht="18" customHeight="1">
      <c r="C12" s="1022">
        <v>2002</v>
      </c>
      <c r="D12" s="1024">
        <v>205</v>
      </c>
      <c r="E12" s="1025">
        <v>1058</v>
      </c>
      <c r="G12" s="1035">
        <v>74</v>
      </c>
      <c r="H12" s="1036">
        <f t="shared" si="4"/>
        <v>356</v>
      </c>
      <c r="I12" s="1037">
        <v>44</v>
      </c>
      <c r="J12" s="1036">
        <f t="shared" si="0"/>
        <v>192</v>
      </c>
      <c r="K12" s="1037">
        <v>50</v>
      </c>
      <c r="L12" s="1036">
        <f t="shared" si="1"/>
        <v>351</v>
      </c>
      <c r="M12" s="1037">
        <v>20</v>
      </c>
      <c r="N12" s="1036">
        <f t="shared" si="2"/>
        <v>87</v>
      </c>
      <c r="O12" s="1037">
        <v>17</v>
      </c>
      <c r="P12" s="1038">
        <f t="shared" si="3"/>
        <v>72</v>
      </c>
    </row>
    <row r="13" spans="2:39" ht="18" customHeight="1">
      <c r="C13" s="1021">
        <v>2003</v>
      </c>
      <c r="D13" s="1023">
        <v>231</v>
      </c>
      <c r="E13" s="1023">
        <v>1289</v>
      </c>
      <c r="G13" s="1033">
        <v>102</v>
      </c>
      <c r="H13" s="1034">
        <f t="shared" si="4"/>
        <v>458</v>
      </c>
      <c r="I13" s="1033">
        <v>47</v>
      </c>
      <c r="J13" s="1034">
        <f t="shared" si="0"/>
        <v>239</v>
      </c>
      <c r="K13" s="1033">
        <v>31</v>
      </c>
      <c r="L13" s="1034">
        <f t="shared" si="1"/>
        <v>382</v>
      </c>
      <c r="M13" s="1033">
        <v>32</v>
      </c>
      <c r="N13" s="1034">
        <f t="shared" si="2"/>
        <v>119</v>
      </c>
      <c r="O13" s="1033">
        <v>19</v>
      </c>
      <c r="P13" s="1034">
        <f t="shared" si="3"/>
        <v>91</v>
      </c>
    </row>
    <row r="14" spans="2:39" ht="18" customHeight="1">
      <c r="C14" s="1022">
        <v>2004</v>
      </c>
      <c r="D14" s="1024">
        <v>145</v>
      </c>
      <c r="E14" s="1025">
        <v>1434</v>
      </c>
      <c r="G14" s="1035">
        <v>35</v>
      </c>
      <c r="H14" s="1036">
        <f t="shared" si="4"/>
        <v>493</v>
      </c>
      <c r="I14" s="1037">
        <v>36</v>
      </c>
      <c r="J14" s="1036">
        <f t="shared" si="0"/>
        <v>275</v>
      </c>
      <c r="K14" s="1037">
        <v>57</v>
      </c>
      <c r="L14" s="1036">
        <f t="shared" si="1"/>
        <v>439</v>
      </c>
      <c r="M14" s="1037">
        <v>12</v>
      </c>
      <c r="N14" s="1036">
        <f t="shared" si="2"/>
        <v>131</v>
      </c>
      <c r="O14" s="1037">
        <v>5</v>
      </c>
      <c r="P14" s="1038">
        <f t="shared" si="3"/>
        <v>96</v>
      </c>
    </row>
    <row r="15" spans="2:39" ht="18" customHeight="1">
      <c r="C15" s="1021">
        <v>2005</v>
      </c>
      <c r="D15" s="1023">
        <v>215</v>
      </c>
      <c r="E15" s="1023">
        <v>1649</v>
      </c>
      <c r="G15" s="1033">
        <v>48</v>
      </c>
      <c r="H15" s="1034">
        <f t="shared" si="4"/>
        <v>541</v>
      </c>
      <c r="I15" s="1033">
        <v>44</v>
      </c>
      <c r="J15" s="1034">
        <f t="shared" si="0"/>
        <v>319</v>
      </c>
      <c r="K15" s="1033">
        <v>40</v>
      </c>
      <c r="L15" s="1034">
        <f t="shared" si="1"/>
        <v>479</v>
      </c>
      <c r="M15" s="1033">
        <v>66</v>
      </c>
      <c r="N15" s="1034">
        <f t="shared" si="2"/>
        <v>197</v>
      </c>
      <c r="O15" s="1033">
        <v>17</v>
      </c>
      <c r="P15" s="1034">
        <f t="shared" si="3"/>
        <v>113</v>
      </c>
    </row>
    <row r="16" spans="2:39" ht="18" customHeight="1">
      <c r="C16" s="1022">
        <v>2006</v>
      </c>
      <c r="D16" s="1024">
        <v>113</v>
      </c>
      <c r="E16" s="1025">
        <v>1762</v>
      </c>
      <c r="G16" s="1035">
        <v>47</v>
      </c>
      <c r="H16" s="1036">
        <f t="shared" si="4"/>
        <v>588</v>
      </c>
      <c r="I16" s="1037">
        <v>24</v>
      </c>
      <c r="J16" s="1036">
        <f t="shared" si="0"/>
        <v>343</v>
      </c>
      <c r="K16" s="1037">
        <v>34</v>
      </c>
      <c r="L16" s="1036">
        <f t="shared" si="1"/>
        <v>513</v>
      </c>
      <c r="M16" s="1037">
        <v>4</v>
      </c>
      <c r="N16" s="1036">
        <f t="shared" si="2"/>
        <v>201</v>
      </c>
      <c r="O16" s="1037">
        <v>4</v>
      </c>
      <c r="P16" s="1038">
        <f t="shared" si="3"/>
        <v>117</v>
      </c>
    </row>
    <row r="17" spans="3:16" ht="18" customHeight="1">
      <c r="C17" s="1021">
        <v>2007</v>
      </c>
      <c r="D17" s="1023">
        <v>126</v>
      </c>
      <c r="E17" s="1023">
        <v>1888</v>
      </c>
      <c r="G17" s="1033">
        <v>45</v>
      </c>
      <c r="H17" s="1034">
        <f t="shared" si="4"/>
        <v>633</v>
      </c>
      <c r="I17" s="1033">
        <v>32</v>
      </c>
      <c r="J17" s="1034">
        <f t="shared" si="0"/>
        <v>375</v>
      </c>
      <c r="K17" s="1033">
        <v>32</v>
      </c>
      <c r="L17" s="1034">
        <f t="shared" si="1"/>
        <v>545</v>
      </c>
      <c r="M17" s="1033">
        <v>14</v>
      </c>
      <c r="N17" s="1034">
        <f t="shared" si="2"/>
        <v>215</v>
      </c>
      <c r="O17" s="1033">
        <v>3</v>
      </c>
      <c r="P17" s="1034">
        <f t="shared" si="3"/>
        <v>120</v>
      </c>
    </row>
    <row r="18" spans="3:16" ht="18" customHeight="1">
      <c r="C18" s="1022">
        <v>2008</v>
      </c>
      <c r="D18" s="1024">
        <v>189</v>
      </c>
      <c r="E18" s="1025">
        <v>2077</v>
      </c>
      <c r="G18" s="1035">
        <v>77</v>
      </c>
      <c r="H18" s="1036">
        <f t="shared" si="4"/>
        <v>710</v>
      </c>
      <c r="I18" s="1037">
        <v>30</v>
      </c>
      <c r="J18" s="1036">
        <f t="shared" si="0"/>
        <v>405</v>
      </c>
      <c r="K18" s="1037">
        <v>66</v>
      </c>
      <c r="L18" s="1036">
        <f t="shared" si="1"/>
        <v>611</v>
      </c>
      <c r="M18" s="1037">
        <v>11</v>
      </c>
      <c r="N18" s="1036">
        <f t="shared" si="2"/>
        <v>226</v>
      </c>
      <c r="O18" s="1037">
        <v>5</v>
      </c>
      <c r="P18" s="1038">
        <f t="shared" si="3"/>
        <v>125</v>
      </c>
    </row>
    <row r="19" spans="3:16" ht="18" customHeight="1">
      <c r="C19" s="1021">
        <v>2009</v>
      </c>
      <c r="D19" s="1023">
        <v>147</v>
      </c>
      <c r="E19" s="1023">
        <v>2224</v>
      </c>
      <c r="G19" s="1033">
        <v>53</v>
      </c>
      <c r="H19" s="1034">
        <f t="shared" si="4"/>
        <v>763</v>
      </c>
      <c r="I19" s="1033">
        <v>30</v>
      </c>
      <c r="J19" s="1034">
        <f t="shared" si="0"/>
        <v>435</v>
      </c>
      <c r="K19" s="1033">
        <v>49</v>
      </c>
      <c r="L19" s="1034">
        <f t="shared" si="1"/>
        <v>660</v>
      </c>
      <c r="M19" s="1033">
        <v>4</v>
      </c>
      <c r="N19" s="1034">
        <f t="shared" si="2"/>
        <v>230</v>
      </c>
      <c r="O19" s="1033">
        <v>11</v>
      </c>
      <c r="P19" s="1034">
        <f t="shared" si="3"/>
        <v>136</v>
      </c>
    </row>
    <row r="20" spans="3:16">
      <c r="C20" s="1022">
        <v>2010</v>
      </c>
      <c r="D20" s="1024">
        <v>118</v>
      </c>
      <c r="E20" s="1032">
        <v>2342</v>
      </c>
      <c r="G20" s="1035">
        <v>37</v>
      </c>
      <c r="H20" s="1039">
        <f t="shared" si="4"/>
        <v>800</v>
      </c>
      <c r="I20" s="1037">
        <v>36</v>
      </c>
      <c r="J20" s="1039">
        <f t="shared" si="0"/>
        <v>471</v>
      </c>
      <c r="K20" s="1037">
        <v>39</v>
      </c>
      <c r="L20" s="1039">
        <f t="shared" si="1"/>
        <v>699</v>
      </c>
      <c r="M20" s="1037">
        <v>3</v>
      </c>
      <c r="N20" s="1039">
        <f t="shared" si="2"/>
        <v>233</v>
      </c>
      <c r="O20" s="1037">
        <v>3</v>
      </c>
      <c r="P20" s="1040">
        <f t="shared" si="3"/>
        <v>139</v>
      </c>
    </row>
    <row r="24" spans="3:16">
      <c r="C24" s="2" t="s">
        <v>979</v>
      </c>
    </row>
    <row r="26" spans="3:16">
      <c r="C26" s="2" t="s">
        <v>974</v>
      </c>
    </row>
  </sheetData>
  <mergeCells count="7">
    <mergeCell ref="C1:AM1"/>
    <mergeCell ref="G5:H5"/>
    <mergeCell ref="I5:J5"/>
    <mergeCell ref="K5:L5"/>
    <mergeCell ref="M5:N5"/>
    <mergeCell ref="O5:P5"/>
    <mergeCell ref="D5:E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AM21"/>
  <sheetViews>
    <sheetView workbookViewId="0"/>
  </sheetViews>
  <sheetFormatPr defaultRowHeight="15"/>
  <cols>
    <col min="1" max="1" width="2.28515625" customWidth="1"/>
    <col min="2" max="2" width="5.7109375" customWidth="1"/>
    <col min="5" max="8" width="9.7109375" customWidth="1"/>
    <col min="9" max="9" width="0.7109375" customWidth="1"/>
    <col min="10" max="13" width="9.710937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17</v>
      </c>
    </row>
    <row r="5" spans="2:39">
      <c r="M5" s="402" t="s">
        <v>632</v>
      </c>
    </row>
    <row r="6" spans="2:39" ht="22.5" customHeight="1">
      <c r="C6" s="1149" t="s">
        <v>642</v>
      </c>
      <c r="D6" s="1150"/>
      <c r="E6" s="1151" t="s">
        <v>643</v>
      </c>
      <c r="F6" s="1151"/>
      <c r="G6" s="1151"/>
      <c r="H6" s="1152"/>
      <c r="I6" s="403"/>
      <c r="J6" s="1151" t="s">
        <v>474</v>
      </c>
      <c r="K6" s="1151"/>
      <c r="L6" s="1151"/>
      <c r="M6" s="1152"/>
    </row>
    <row r="7" spans="2:39" ht="22.5" customHeight="1">
      <c r="C7" s="1149"/>
      <c r="D7" s="1150"/>
      <c r="E7" s="404">
        <v>2000</v>
      </c>
      <c r="F7" s="404">
        <v>2007</v>
      </c>
      <c r="G7" s="404">
        <v>2013</v>
      </c>
      <c r="H7" s="405">
        <v>2020</v>
      </c>
      <c r="I7" s="403"/>
      <c r="J7" s="404">
        <v>2000</v>
      </c>
      <c r="K7" s="404">
        <v>2007</v>
      </c>
      <c r="L7" s="404">
        <v>2013</v>
      </c>
      <c r="M7" s="405">
        <v>2020</v>
      </c>
    </row>
    <row r="8" spans="2:39" ht="18.75" customHeight="1">
      <c r="C8" s="1147" t="s">
        <v>644</v>
      </c>
      <c r="D8" s="1148"/>
      <c r="E8" s="411">
        <v>69027</v>
      </c>
      <c r="F8" s="411">
        <v>63402</v>
      </c>
      <c r="G8" s="411">
        <v>54883</v>
      </c>
      <c r="H8" s="411">
        <v>45130</v>
      </c>
      <c r="I8" s="408"/>
      <c r="J8" s="411">
        <v>4075</v>
      </c>
      <c r="K8" s="411">
        <v>3905</v>
      </c>
      <c r="L8" s="411">
        <v>3500</v>
      </c>
      <c r="M8" s="411">
        <v>2942</v>
      </c>
    </row>
    <row r="9" spans="2:39" ht="18.75" customHeight="1">
      <c r="C9" s="1147" t="s">
        <v>645</v>
      </c>
      <c r="D9" s="1148"/>
      <c r="E9" s="411">
        <v>100782</v>
      </c>
      <c r="F9" s="411">
        <v>109086</v>
      </c>
      <c r="G9" s="411">
        <v>112277</v>
      </c>
      <c r="H9" s="411">
        <v>112244</v>
      </c>
      <c r="I9" s="408"/>
      <c r="J9" s="411">
        <v>690</v>
      </c>
      <c r="K9" s="411">
        <v>954</v>
      </c>
      <c r="L9" s="411">
        <v>1182</v>
      </c>
      <c r="M9" s="411">
        <v>1467</v>
      </c>
    </row>
    <row r="10" spans="2:39" ht="18.75" customHeight="1">
      <c r="C10" s="1147" t="s">
        <v>646</v>
      </c>
      <c r="D10" s="1148"/>
      <c r="E10" s="411">
        <v>42188</v>
      </c>
      <c r="F10" s="411">
        <v>53980</v>
      </c>
      <c r="G10" s="411">
        <v>64065</v>
      </c>
      <c r="H10" s="411">
        <v>74072</v>
      </c>
      <c r="I10" s="408"/>
      <c r="J10" s="411">
        <v>424</v>
      </c>
      <c r="K10" s="411">
        <v>741</v>
      </c>
      <c r="L10" s="411">
        <v>1074</v>
      </c>
      <c r="M10" s="411">
        <v>1503</v>
      </c>
    </row>
    <row r="12" spans="2:39">
      <c r="M12" s="402" t="s">
        <v>641</v>
      </c>
    </row>
    <row r="13" spans="2:39" ht="22.5" customHeight="1">
      <c r="C13" s="1149" t="s">
        <v>642</v>
      </c>
      <c r="D13" s="1150"/>
      <c r="E13" s="1151" t="s">
        <v>643</v>
      </c>
      <c r="F13" s="1151"/>
      <c r="G13" s="1151"/>
      <c r="H13" s="1152"/>
      <c r="I13" s="403"/>
      <c r="J13" s="1151" t="s">
        <v>474</v>
      </c>
      <c r="K13" s="1151"/>
      <c r="L13" s="1151"/>
      <c r="M13" s="1152"/>
    </row>
    <row r="14" spans="2:39" ht="22.5" customHeight="1">
      <c r="C14" s="1149"/>
      <c r="D14" s="1150"/>
      <c r="E14" s="404">
        <v>2000</v>
      </c>
      <c r="F14" s="404">
        <v>2007</v>
      </c>
      <c r="G14" s="404">
        <v>2013</v>
      </c>
      <c r="H14" s="405">
        <v>2020</v>
      </c>
      <c r="I14" s="403"/>
      <c r="J14" s="404">
        <v>2000</v>
      </c>
      <c r="K14" s="404">
        <v>2007</v>
      </c>
      <c r="L14" s="404">
        <v>2013</v>
      </c>
      <c r="M14" s="405">
        <v>2020</v>
      </c>
    </row>
    <row r="15" spans="2:39" ht="18.75" customHeight="1">
      <c r="C15" s="1147" t="s">
        <v>644</v>
      </c>
      <c r="D15" s="1148"/>
      <c r="E15" s="406">
        <v>32.6</v>
      </c>
      <c r="F15" s="407">
        <v>28</v>
      </c>
      <c r="G15" s="407">
        <v>23.7</v>
      </c>
      <c r="H15" s="407">
        <v>19.5</v>
      </c>
      <c r="I15" s="408"/>
      <c r="J15" s="407">
        <v>78.5</v>
      </c>
      <c r="K15" s="407">
        <v>69.7</v>
      </c>
      <c r="L15" s="407">
        <v>60.8</v>
      </c>
      <c r="M15" s="407">
        <v>49.8</v>
      </c>
    </row>
    <row r="16" spans="2:39" ht="18.75" customHeight="1">
      <c r="C16" s="1147" t="s">
        <v>645</v>
      </c>
      <c r="D16" s="1148"/>
      <c r="E16" s="409">
        <v>47.5</v>
      </c>
      <c r="F16" s="410">
        <v>48.2</v>
      </c>
      <c r="G16" s="410">
        <v>48.6</v>
      </c>
      <c r="H16" s="410">
        <v>48.5</v>
      </c>
      <c r="I16" s="408"/>
      <c r="J16" s="410">
        <v>13.3</v>
      </c>
      <c r="K16" s="410">
        <v>17</v>
      </c>
      <c r="L16" s="410">
        <v>20.5</v>
      </c>
      <c r="M16" s="410">
        <v>24.8</v>
      </c>
    </row>
    <row r="17" spans="3:13" ht="18.75" customHeight="1">
      <c r="C17" s="1147" t="s">
        <v>646</v>
      </c>
      <c r="D17" s="1148"/>
      <c r="E17" s="409">
        <v>19.899999999999999</v>
      </c>
      <c r="F17" s="410">
        <v>23.8</v>
      </c>
      <c r="G17" s="410">
        <v>27.7</v>
      </c>
      <c r="H17" s="410">
        <v>32</v>
      </c>
      <c r="I17" s="408"/>
      <c r="J17" s="410">
        <v>8.1999999999999993</v>
      </c>
      <c r="K17" s="410">
        <v>13.2</v>
      </c>
      <c r="L17" s="410">
        <v>18.7</v>
      </c>
      <c r="M17" s="410">
        <v>25.4</v>
      </c>
    </row>
    <row r="21" spans="3:13">
      <c r="C21" s="412" t="s">
        <v>647</v>
      </c>
    </row>
  </sheetData>
  <mergeCells count="13">
    <mergeCell ref="C1:AM1"/>
    <mergeCell ref="C15:D15"/>
    <mergeCell ref="C16:D16"/>
    <mergeCell ref="C17:D17"/>
    <mergeCell ref="C8:D8"/>
    <mergeCell ref="C9:D9"/>
    <mergeCell ref="C10:D10"/>
    <mergeCell ref="C13:D14"/>
    <mergeCell ref="C6:D7"/>
    <mergeCell ref="E6:H6"/>
    <mergeCell ref="J6:M6"/>
    <mergeCell ref="J13:M13"/>
    <mergeCell ref="E13:H13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B1:AM23"/>
  <sheetViews>
    <sheetView workbookViewId="0"/>
  </sheetViews>
  <sheetFormatPr defaultRowHeight="15"/>
  <cols>
    <col min="1" max="1" width="2.28515625" customWidth="1"/>
    <col min="2" max="2" width="5.7109375" customWidth="1"/>
    <col min="3" max="3" width="21" customWidth="1"/>
    <col min="4" max="4" width="10.855468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232</v>
      </c>
    </row>
    <row r="6" spans="2:39" ht="33.75" customHeight="1">
      <c r="C6" s="1026" t="s">
        <v>975</v>
      </c>
      <c r="D6" s="111" t="s">
        <v>332</v>
      </c>
    </row>
    <row r="7" spans="2:39" ht="18" customHeight="1">
      <c r="C7" s="1041" t="s">
        <v>602</v>
      </c>
      <c r="D7" s="1044">
        <v>36</v>
      </c>
    </row>
    <row r="8" spans="2:39" ht="18" customHeight="1">
      <c r="C8" s="1042" t="s">
        <v>977</v>
      </c>
      <c r="D8" s="1045">
        <v>100</v>
      </c>
    </row>
    <row r="9" spans="2:39" ht="18" customHeight="1" thickBot="1">
      <c r="C9" s="1043" t="s">
        <v>976</v>
      </c>
      <c r="D9" s="1046">
        <v>93</v>
      </c>
    </row>
    <row r="23" spans="3:3">
      <c r="C23" s="2" t="s">
        <v>974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3.7109375" customWidth="1"/>
    <col min="4" max="4" width="10.855468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234</v>
      </c>
    </row>
    <row r="6" spans="2:39" ht="33" customHeight="1">
      <c r="C6" s="1026" t="s">
        <v>978</v>
      </c>
      <c r="D6" s="111" t="s">
        <v>332</v>
      </c>
    </row>
    <row r="7" spans="2:39" ht="18" customHeight="1">
      <c r="C7" s="1047" t="s">
        <v>731</v>
      </c>
      <c r="D7" s="1049">
        <v>66</v>
      </c>
    </row>
    <row r="8" spans="2:39" ht="18" customHeight="1">
      <c r="C8" s="1042" t="s">
        <v>730</v>
      </c>
      <c r="D8" s="1045">
        <v>66</v>
      </c>
    </row>
    <row r="9" spans="2:39" ht="18" customHeight="1">
      <c r="C9" s="1047" t="s">
        <v>729</v>
      </c>
      <c r="D9" s="1049">
        <v>74</v>
      </c>
    </row>
    <row r="10" spans="2:39" ht="18" customHeight="1">
      <c r="C10" s="1042" t="s">
        <v>972</v>
      </c>
      <c r="D10" s="1045">
        <v>81</v>
      </c>
    </row>
    <row r="11" spans="2:39" ht="18" customHeight="1" thickBot="1">
      <c r="C11" s="1048" t="s">
        <v>973</v>
      </c>
      <c r="D11" s="1050">
        <v>95</v>
      </c>
    </row>
    <row r="24" spans="3:3">
      <c r="C24" s="2" t="s">
        <v>974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B1:AM26"/>
  <sheetViews>
    <sheetView workbookViewId="0"/>
  </sheetViews>
  <sheetFormatPr defaultRowHeight="15"/>
  <cols>
    <col min="1" max="1" width="2.28515625" customWidth="1"/>
    <col min="2" max="2" width="5.7109375" customWidth="1"/>
    <col min="3" max="3" width="30.7109375" customWidth="1"/>
    <col min="4" max="4" width="0.5703125" customWidth="1"/>
    <col min="5" max="5" width="10.7109375" customWidth="1"/>
    <col min="6" max="6" width="0.5703125" customWidth="1"/>
    <col min="7" max="10" width="10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236</v>
      </c>
    </row>
    <row r="5" spans="2:39" ht="18" customHeight="1">
      <c r="C5" s="1380" t="s">
        <v>980</v>
      </c>
      <c r="D5" s="1380"/>
      <c r="E5" s="1380"/>
      <c r="F5" s="1380"/>
      <c r="G5" s="1380"/>
      <c r="H5" s="1380"/>
      <c r="I5" s="1380"/>
      <c r="J5" s="1380"/>
    </row>
    <row r="6" spans="2:39" ht="20.25" customHeight="1">
      <c r="C6" s="1051" t="s">
        <v>981</v>
      </c>
      <c r="D6" s="1051"/>
      <c r="E6" s="1055" t="s">
        <v>448</v>
      </c>
      <c r="F6" s="1054"/>
      <c r="G6" s="1056" t="s">
        <v>451</v>
      </c>
      <c r="H6" s="1057" t="s">
        <v>452</v>
      </c>
      <c r="I6" s="1057" t="s">
        <v>453</v>
      </c>
      <c r="J6" s="1058" t="s">
        <v>454</v>
      </c>
    </row>
    <row r="7" spans="2:39" ht="19.5" customHeight="1">
      <c r="C7" s="1082" t="s">
        <v>982</v>
      </c>
      <c r="D7" s="1053"/>
      <c r="E7" s="1060">
        <v>17.3</v>
      </c>
      <c r="F7" s="1061"/>
      <c r="G7" s="1062">
        <v>11.7</v>
      </c>
      <c r="H7" s="1063">
        <v>10.5</v>
      </c>
      <c r="I7" s="1063">
        <v>9.5</v>
      </c>
      <c r="J7" s="1064">
        <v>7.9</v>
      </c>
    </row>
    <row r="8" spans="2:39" ht="4.5" customHeight="1">
      <c r="C8" s="1052"/>
      <c r="D8" s="1052"/>
      <c r="E8" s="1065"/>
      <c r="F8" s="1065"/>
      <c r="G8" s="1065"/>
      <c r="H8" s="1065"/>
      <c r="I8" s="1065"/>
      <c r="J8" s="1065"/>
    </row>
    <row r="9" spans="2:39" ht="18" customHeight="1">
      <c r="C9" s="1059" t="s">
        <v>983</v>
      </c>
      <c r="D9" s="1053"/>
      <c r="E9" s="1066">
        <v>19.100000000000001</v>
      </c>
      <c r="F9" s="1067"/>
      <c r="G9" s="1068">
        <v>12.8</v>
      </c>
      <c r="H9" s="1069">
        <v>11.5</v>
      </c>
      <c r="I9" s="1069">
        <v>10.3</v>
      </c>
      <c r="J9" s="1070">
        <v>8.3000000000000007</v>
      </c>
    </row>
    <row r="10" spans="2:39" ht="17.25" customHeight="1">
      <c r="C10" s="1072" t="s">
        <v>984</v>
      </c>
      <c r="D10" s="1052"/>
      <c r="E10" s="1074">
        <v>26.7</v>
      </c>
      <c r="F10" s="1071"/>
      <c r="G10" s="1076">
        <v>22.9</v>
      </c>
      <c r="H10" s="1077">
        <v>15.9</v>
      </c>
      <c r="I10" s="1077">
        <v>15.1</v>
      </c>
      <c r="J10" s="1078">
        <v>11.4</v>
      </c>
    </row>
    <row r="11" spans="2:39" ht="17.25" customHeight="1">
      <c r="C11" s="1072" t="s">
        <v>985</v>
      </c>
      <c r="D11" s="1052"/>
      <c r="E11" s="1074">
        <v>19.600000000000001</v>
      </c>
      <c r="F11" s="1071"/>
      <c r="G11" s="1076">
        <v>11.5</v>
      </c>
      <c r="H11" s="1077">
        <v>10.9</v>
      </c>
      <c r="I11" s="1077">
        <v>9</v>
      </c>
      <c r="J11" s="1078">
        <v>7.5</v>
      </c>
    </row>
    <row r="12" spans="2:39" ht="17.25" customHeight="1">
      <c r="C12" s="1072" t="s">
        <v>986</v>
      </c>
      <c r="D12" s="1052"/>
      <c r="E12" s="1074">
        <v>17.600000000000001</v>
      </c>
      <c r="F12" s="1071"/>
      <c r="G12" s="1076">
        <v>10.7</v>
      </c>
      <c r="H12" s="1077">
        <v>10.3</v>
      </c>
      <c r="I12" s="1077">
        <v>8.9</v>
      </c>
      <c r="J12" s="1078">
        <v>7.3</v>
      </c>
    </row>
    <row r="13" spans="2:39" ht="17.25" customHeight="1">
      <c r="C13" s="1073" t="s">
        <v>987</v>
      </c>
      <c r="D13" s="1052"/>
      <c r="E13" s="1075">
        <v>13.4</v>
      </c>
      <c r="F13" s="1071"/>
      <c r="G13" s="1079">
        <v>8.9</v>
      </c>
      <c r="H13" s="1080">
        <v>8.6</v>
      </c>
      <c r="I13" s="1080">
        <v>8.1</v>
      </c>
      <c r="J13" s="1081">
        <v>6.8</v>
      </c>
    </row>
    <row r="14" spans="2:39" ht="4.5" customHeight="1">
      <c r="C14" s="1052"/>
      <c r="D14" s="1052"/>
      <c r="E14" s="1071"/>
      <c r="F14" s="1071"/>
      <c r="G14" s="1071"/>
      <c r="H14" s="1071"/>
      <c r="I14" s="1071"/>
      <c r="J14" s="1071"/>
    </row>
    <row r="15" spans="2:39" ht="18" customHeight="1">
      <c r="C15" s="1059" t="s">
        <v>988</v>
      </c>
      <c r="D15" s="1053"/>
      <c r="E15" s="1066">
        <v>10.4</v>
      </c>
      <c r="F15" s="1067"/>
      <c r="G15" s="1068">
        <v>7.3</v>
      </c>
      <c r="H15" s="1069">
        <v>6.9</v>
      </c>
      <c r="I15" s="1069">
        <v>6.5</v>
      </c>
      <c r="J15" s="1070">
        <v>6.1</v>
      </c>
    </row>
    <row r="16" spans="2:39" ht="17.25" customHeight="1">
      <c r="C16" s="1072" t="s">
        <v>984</v>
      </c>
      <c r="D16" s="1052"/>
      <c r="E16" s="1074">
        <v>15.9</v>
      </c>
      <c r="F16" s="1071"/>
      <c r="G16" s="1076">
        <v>9.8000000000000007</v>
      </c>
      <c r="H16" s="1077">
        <v>9.5</v>
      </c>
      <c r="I16" s="1077">
        <v>8.4</v>
      </c>
      <c r="J16" s="1078">
        <v>7.7</v>
      </c>
    </row>
    <row r="17" spans="3:10" ht="17.25" customHeight="1">
      <c r="C17" s="1072" t="s">
        <v>985</v>
      </c>
      <c r="D17" s="1052"/>
      <c r="E17" s="1074">
        <v>16.100000000000001</v>
      </c>
      <c r="F17" s="1071"/>
      <c r="G17" s="1076">
        <v>10.3</v>
      </c>
      <c r="H17" s="1077">
        <v>9.6</v>
      </c>
      <c r="I17" s="1077">
        <v>9</v>
      </c>
      <c r="J17" s="1078">
        <v>9.5</v>
      </c>
    </row>
    <row r="18" spans="3:10" ht="17.25" customHeight="1">
      <c r="C18" s="1072" t="s">
        <v>986</v>
      </c>
      <c r="D18" s="1052"/>
      <c r="E18" s="1074">
        <v>15.6</v>
      </c>
      <c r="F18" s="1071"/>
      <c r="G18" s="1076">
        <v>9.6</v>
      </c>
      <c r="H18" s="1077">
        <v>8.8000000000000007</v>
      </c>
      <c r="I18" s="1077">
        <v>8</v>
      </c>
      <c r="J18" s="1078">
        <v>7.3</v>
      </c>
    </row>
    <row r="19" spans="3:10" ht="17.25" customHeight="1">
      <c r="C19" s="1073" t="s">
        <v>987</v>
      </c>
      <c r="D19" s="1052"/>
      <c r="E19" s="1075">
        <v>6.1</v>
      </c>
      <c r="F19" s="1071"/>
      <c r="G19" s="1079">
        <v>4.8</v>
      </c>
      <c r="H19" s="1080">
        <v>4.3</v>
      </c>
      <c r="I19" s="1080">
        <v>4.4000000000000004</v>
      </c>
      <c r="J19" s="1081">
        <v>4.0999999999999996</v>
      </c>
    </row>
    <row r="20" spans="3:10" ht="6" customHeight="1">
      <c r="C20" s="1052"/>
      <c r="D20" s="1052"/>
      <c r="E20" s="1071"/>
      <c r="F20" s="1071"/>
      <c r="G20" s="1071"/>
      <c r="H20" s="1071"/>
      <c r="I20" s="1071"/>
      <c r="J20" s="1071"/>
    </row>
    <row r="21" spans="3:10" ht="18" customHeight="1">
      <c r="C21" s="1059" t="s">
        <v>989</v>
      </c>
      <c r="D21" s="1053"/>
      <c r="E21" s="1066">
        <v>16.5</v>
      </c>
      <c r="F21" s="1067"/>
      <c r="G21" s="1068">
        <v>10.3</v>
      </c>
      <c r="H21" s="1069">
        <v>9.9</v>
      </c>
      <c r="I21" s="1069">
        <v>8.6999999999999993</v>
      </c>
      <c r="J21" s="1070">
        <v>7.2</v>
      </c>
    </row>
    <row r="26" spans="3:10">
      <c r="C26" s="2" t="s">
        <v>990</v>
      </c>
    </row>
  </sheetData>
  <mergeCells count="2">
    <mergeCell ref="C1:AM1"/>
    <mergeCell ref="C5:J5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238</v>
      </c>
    </row>
    <row r="27" spans="3:3">
      <c r="C27" s="2" t="s">
        <v>991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B1:AM47"/>
  <sheetViews>
    <sheetView workbookViewId="0"/>
  </sheetViews>
  <sheetFormatPr defaultRowHeight="15"/>
  <cols>
    <col min="1" max="1" width="2.28515625" customWidth="1"/>
    <col min="2" max="2" width="5.7109375" customWidth="1"/>
    <col min="3" max="3" width="10.7109375" customWidth="1"/>
    <col min="4" max="5" width="15.855468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240</v>
      </c>
    </row>
    <row r="5" spans="2:39" ht="33.75" customHeight="1">
      <c r="C5" s="90"/>
      <c r="D5" s="96" t="s">
        <v>455</v>
      </c>
      <c r="E5" s="97" t="s">
        <v>456</v>
      </c>
    </row>
    <row r="6" spans="2:39" ht="15" customHeight="1">
      <c r="C6" s="90"/>
      <c r="D6" s="98" t="s">
        <v>457</v>
      </c>
      <c r="E6" s="99"/>
    </row>
    <row r="7" spans="2:39" ht="38.25">
      <c r="C7" s="104" t="s">
        <v>458</v>
      </c>
      <c r="D7" s="105" t="s">
        <v>459</v>
      </c>
      <c r="E7" s="106" t="s">
        <v>460</v>
      </c>
    </row>
    <row r="8" spans="2:39">
      <c r="C8" s="100">
        <v>1972</v>
      </c>
      <c r="D8" s="1085">
        <v>22.3</v>
      </c>
      <c r="E8" s="101">
        <v>1.4</v>
      </c>
    </row>
    <row r="9" spans="2:39">
      <c r="C9" s="102">
        <v>1973</v>
      </c>
      <c r="D9" s="1083">
        <v>24.7</v>
      </c>
      <c r="E9" s="103">
        <v>1.3</v>
      </c>
    </row>
    <row r="10" spans="2:39">
      <c r="C10" s="100">
        <v>1974</v>
      </c>
      <c r="D10" s="1085">
        <v>30.4</v>
      </c>
      <c r="E10" s="101">
        <v>1.4</v>
      </c>
    </row>
    <row r="11" spans="2:39">
      <c r="C11" s="102">
        <v>1975</v>
      </c>
      <c r="D11" s="1083">
        <v>54.2</v>
      </c>
      <c r="E11" s="103">
        <v>2.2000000000000002</v>
      </c>
    </row>
    <row r="12" spans="2:39">
      <c r="C12" s="100">
        <v>1976</v>
      </c>
      <c r="D12" s="1085">
        <v>70</v>
      </c>
      <c r="E12" s="101">
        <v>2.2999999999999998</v>
      </c>
    </row>
    <row r="13" spans="2:39">
      <c r="C13" s="102">
        <v>1977</v>
      </c>
      <c r="D13" s="1083">
        <v>120.5</v>
      </c>
      <c r="E13" s="103">
        <v>3.1</v>
      </c>
    </row>
    <row r="14" spans="2:39">
      <c r="C14" s="100">
        <v>1978</v>
      </c>
      <c r="D14" s="1085">
        <v>143.19999999999999</v>
      </c>
      <c r="E14" s="101">
        <v>3</v>
      </c>
    </row>
    <row r="15" spans="2:39">
      <c r="C15" s="102">
        <v>1979</v>
      </c>
      <c r="D15" s="1083">
        <v>174.1</v>
      </c>
      <c r="E15" s="103">
        <v>2.9</v>
      </c>
    </row>
    <row r="16" spans="2:39">
      <c r="C16" s="100">
        <v>1980</v>
      </c>
      <c r="D16" s="1085">
        <v>258.5</v>
      </c>
      <c r="E16" s="101">
        <v>3.3</v>
      </c>
    </row>
    <row r="17" spans="3:5">
      <c r="C17" s="102">
        <v>1981</v>
      </c>
      <c r="D17" s="1083">
        <v>322.3</v>
      </c>
      <c r="E17" s="103">
        <v>3.4</v>
      </c>
    </row>
    <row r="18" spans="3:5">
      <c r="C18" s="100">
        <v>1982</v>
      </c>
      <c r="D18" s="1085">
        <v>393.6</v>
      </c>
      <c r="E18" s="101">
        <v>3.4</v>
      </c>
    </row>
    <row r="19" spans="3:5">
      <c r="C19" s="102">
        <v>1983</v>
      </c>
      <c r="D19" s="1083">
        <v>483.9</v>
      </c>
      <c r="E19" s="103">
        <v>3.3</v>
      </c>
    </row>
    <row r="20" spans="3:5">
      <c r="C20" s="100">
        <v>1984</v>
      </c>
      <c r="D20" s="1085">
        <v>575.29999999999995</v>
      </c>
      <c r="E20" s="101">
        <v>3.2</v>
      </c>
    </row>
    <row r="21" spans="3:5">
      <c r="C21" s="102">
        <v>1985</v>
      </c>
      <c r="D21" s="1083">
        <v>708.1</v>
      </c>
      <c r="E21" s="103">
        <v>3.2</v>
      </c>
    </row>
    <row r="22" spans="3:5">
      <c r="C22" s="100">
        <v>1986</v>
      </c>
      <c r="D22" s="1085">
        <v>926.7</v>
      </c>
      <c r="E22" s="101">
        <v>3.4</v>
      </c>
    </row>
    <row r="23" spans="3:5">
      <c r="C23" s="102">
        <v>1987</v>
      </c>
      <c r="D23" s="1083">
        <v>1120</v>
      </c>
      <c r="E23" s="103">
        <v>3.5</v>
      </c>
    </row>
    <row r="24" spans="3:5">
      <c r="C24" s="100">
        <v>1988</v>
      </c>
      <c r="D24" s="1085">
        <v>1415.3</v>
      </c>
      <c r="E24" s="101">
        <v>3.7</v>
      </c>
    </row>
    <row r="25" spans="3:5">
      <c r="C25" s="102">
        <v>1989</v>
      </c>
      <c r="D25" s="1083">
        <v>1737.9</v>
      </c>
      <c r="E25" s="103">
        <v>3.9</v>
      </c>
    </row>
    <row r="26" spans="3:5">
      <c r="C26" s="100">
        <v>1990</v>
      </c>
      <c r="D26" s="1085">
        <v>2091</v>
      </c>
      <c r="E26" s="101">
        <v>3.9</v>
      </c>
    </row>
    <row r="27" spans="3:5">
      <c r="C27" s="102">
        <v>1991</v>
      </c>
      <c r="D27" s="1083">
        <v>2722.2</v>
      </c>
      <c r="E27" s="103">
        <v>4.4000000000000004</v>
      </c>
    </row>
    <row r="28" spans="3:5">
      <c r="C28" s="100">
        <v>1992</v>
      </c>
      <c r="D28" s="1085">
        <v>3267.7</v>
      </c>
      <c r="E28" s="101">
        <v>4.7</v>
      </c>
    </row>
    <row r="29" spans="3:5">
      <c r="C29" s="102">
        <v>1993</v>
      </c>
      <c r="D29" s="1083">
        <v>3429.8</v>
      </c>
      <c r="E29" s="103">
        <v>4.7</v>
      </c>
    </row>
    <row r="30" spans="3:5">
      <c r="C30" s="100">
        <v>1994</v>
      </c>
      <c r="D30" s="1085">
        <v>3617.8</v>
      </c>
      <c r="E30" s="101">
        <v>4.5999999999999996</v>
      </c>
    </row>
    <row r="31" spans="3:5">
      <c r="C31" s="102">
        <v>1995</v>
      </c>
      <c r="D31" s="1083">
        <v>4013.8</v>
      </c>
      <c r="E31" s="103">
        <v>4.7</v>
      </c>
    </row>
    <row r="32" spans="3:5">
      <c r="C32" s="100">
        <v>1996</v>
      </c>
      <c r="D32" s="1085">
        <v>4430.3</v>
      </c>
      <c r="E32" s="101">
        <v>4.9000000000000004</v>
      </c>
    </row>
    <row r="33" spans="3:5">
      <c r="C33" s="102">
        <v>1997</v>
      </c>
      <c r="D33" s="1083">
        <v>4863.8</v>
      </c>
      <c r="E33" s="103">
        <v>5</v>
      </c>
    </row>
    <row r="34" spans="3:5">
      <c r="C34" s="100">
        <v>1998</v>
      </c>
      <c r="D34" s="1085">
        <v>5354.1</v>
      </c>
      <c r="E34" s="101">
        <v>5</v>
      </c>
    </row>
    <row r="35" spans="3:5">
      <c r="C35" s="102">
        <v>1999</v>
      </c>
      <c r="D35" s="1083">
        <v>5813</v>
      </c>
      <c r="E35" s="103">
        <v>5.0999999999999996</v>
      </c>
    </row>
    <row r="36" spans="3:5">
      <c r="C36" s="100">
        <v>2000</v>
      </c>
      <c r="D36" s="1085">
        <v>6202.6</v>
      </c>
      <c r="E36" s="101">
        <v>5.0999999999999996</v>
      </c>
    </row>
    <row r="37" spans="3:5">
      <c r="C37" s="102">
        <v>2001</v>
      </c>
      <c r="D37" s="1083">
        <v>6729.8</v>
      </c>
      <c r="E37" s="103">
        <v>5.2</v>
      </c>
    </row>
    <row r="38" spans="3:5">
      <c r="C38" s="100">
        <v>2002</v>
      </c>
      <c r="D38" s="1085">
        <v>7276.7</v>
      </c>
      <c r="E38" s="101">
        <v>5.4</v>
      </c>
    </row>
    <row r="39" spans="3:5">
      <c r="C39" s="102">
        <v>2003</v>
      </c>
      <c r="D39" s="1083">
        <v>7005</v>
      </c>
      <c r="E39" s="103">
        <v>5.0999999999999996</v>
      </c>
    </row>
    <row r="40" spans="3:5">
      <c r="C40" s="100">
        <v>2004</v>
      </c>
      <c r="D40" s="1085">
        <v>7132.1</v>
      </c>
      <c r="E40" s="101">
        <v>4.9000000000000004</v>
      </c>
    </row>
    <row r="41" spans="3:5">
      <c r="C41" s="102">
        <v>2005</v>
      </c>
      <c r="D41" s="1083">
        <v>7316.1</v>
      </c>
      <c r="E41" s="103">
        <v>4.9000000000000004</v>
      </c>
    </row>
    <row r="42" spans="3:5">
      <c r="C42" s="100">
        <v>2006</v>
      </c>
      <c r="D42" s="1085">
        <v>7263.4</v>
      </c>
      <c r="E42" s="101">
        <v>4.7</v>
      </c>
    </row>
    <row r="43" spans="3:5">
      <c r="C43" s="102">
        <v>2007</v>
      </c>
      <c r="D43" s="1083">
        <v>7232.1</v>
      </c>
      <c r="E43" s="103">
        <v>4.4000000000000004</v>
      </c>
    </row>
    <row r="44" spans="3:5">
      <c r="C44" s="100">
        <v>2008</v>
      </c>
      <c r="D44" s="1085">
        <v>7348.6</v>
      </c>
      <c r="E44" s="101">
        <v>4.4000000000000004</v>
      </c>
    </row>
    <row r="45" spans="3:5">
      <c r="C45" s="102">
        <v>2009</v>
      </c>
      <c r="D45" s="1084">
        <v>8507.4</v>
      </c>
      <c r="E45" s="103">
        <v>5.2</v>
      </c>
    </row>
    <row r="47" spans="3:5">
      <c r="C47" s="107" t="s">
        <v>461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B1:AM49"/>
  <sheetViews>
    <sheetView workbookViewId="0"/>
  </sheetViews>
  <sheetFormatPr defaultRowHeight="15"/>
  <cols>
    <col min="1" max="1" width="2.28515625" customWidth="1"/>
    <col min="2" max="2" width="5.7109375" customWidth="1"/>
    <col min="3" max="3" width="10.7109375" customWidth="1"/>
    <col min="4" max="4" width="21.1406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242</v>
      </c>
    </row>
    <row r="5" spans="2:39">
      <c r="C5" s="90"/>
      <c r="D5" s="96" t="s">
        <v>455</v>
      </c>
    </row>
    <row r="6" spans="2:39" ht="29.25" customHeight="1">
      <c r="C6" s="90"/>
      <c r="D6" s="109" t="s">
        <v>462</v>
      </c>
    </row>
    <row r="7" spans="2:39" ht="27.75" customHeight="1">
      <c r="C7" s="104" t="s">
        <v>458</v>
      </c>
      <c r="D7" s="106" t="s">
        <v>459</v>
      </c>
    </row>
    <row r="8" spans="2:39">
      <c r="C8" s="100">
        <v>1972</v>
      </c>
      <c r="D8" s="619">
        <v>692.5</v>
      </c>
    </row>
    <row r="9" spans="2:39">
      <c r="C9" s="102">
        <v>1973</v>
      </c>
      <c r="D9" s="620">
        <v>681.5</v>
      </c>
    </row>
    <row r="10" spans="2:39">
      <c r="C10" s="100">
        <v>1974</v>
      </c>
      <c r="D10" s="621">
        <v>728.6</v>
      </c>
    </row>
    <row r="11" spans="2:39">
      <c r="C11" s="102">
        <v>1975</v>
      </c>
      <c r="D11" s="620">
        <v>1064</v>
      </c>
    </row>
    <row r="12" spans="2:39">
      <c r="C12" s="100">
        <v>1976</v>
      </c>
      <c r="D12" s="621">
        <v>1176</v>
      </c>
    </row>
    <row r="13" spans="2:39">
      <c r="C13" s="102">
        <v>1977</v>
      </c>
      <c r="D13" s="620">
        <v>1669.5</v>
      </c>
    </row>
    <row r="14" spans="2:39">
      <c r="C14" s="100">
        <v>1978</v>
      </c>
      <c r="D14" s="621">
        <v>1702.7</v>
      </c>
    </row>
    <row r="15" spans="2:39">
      <c r="C15" s="102">
        <v>1979</v>
      </c>
      <c r="D15" s="620">
        <v>1744.1</v>
      </c>
    </row>
    <row r="16" spans="2:39">
      <c r="C16" s="100">
        <v>1980</v>
      </c>
      <c r="D16" s="621">
        <v>2086.9</v>
      </c>
    </row>
    <row r="17" spans="3:4">
      <c r="C17" s="102">
        <v>1981</v>
      </c>
      <c r="D17" s="620">
        <v>2212.8000000000002</v>
      </c>
    </row>
    <row r="18" spans="3:4">
      <c r="C18" s="100">
        <v>1982</v>
      </c>
      <c r="D18" s="621">
        <v>2283.4</v>
      </c>
    </row>
    <row r="19" spans="3:4">
      <c r="C19" s="102">
        <v>1983</v>
      </c>
      <c r="D19" s="620">
        <v>2218.4</v>
      </c>
    </row>
    <row r="20" spans="3:4">
      <c r="C20" s="100">
        <v>1984</v>
      </c>
      <c r="D20" s="621">
        <v>2125.5</v>
      </c>
    </row>
    <row r="21" spans="3:4">
      <c r="C21" s="102">
        <v>1985</v>
      </c>
      <c r="D21" s="620">
        <v>2165.6999999999998</v>
      </c>
    </row>
    <row r="22" spans="3:4">
      <c r="C22" s="100">
        <v>1986</v>
      </c>
      <c r="D22" s="621">
        <v>2396.3000000000002</v>
      </c>
    </row>
    <row r="23" spans="3:4">
      <c r="C23" s="102">
        <v>1987</v>
      </c>
      <c r="D23" s="620">
        <v>2645.5</v>
      </c>
    </row>
    <row r="24" spans="3:4">
      <c r="C24" s="100">
        <v>1988</v>
      </c>
      <c r="D24" s="621">
        <v>2950.3</v>
      </c>
    </row>
    <row r="25" spans="3:4">
      <c r="C25" s="102">
        <v>1989</v>
      </c>
      <c r="D25" s="620">
        <v>3270.4</v>
      </c>
    </row>
    <row r="26" spans="3:4">
      <c r="C26" s="100">
        <v>1990</v>
      </c>
      <c r="D26" s="621">
        <v>3534.7</v>
      </c>
    </row>
    <row r="27" spans="3:4">
      <c r="C27" s="102">
        <v>1991</v>
      </c>
      <c r="D27" s="620">
        <v>4148.3</v>
      </c>
    </row>
    <row r="28" spans="3:4">
      <c r="C28" s="100">
        <v>1992</v>
      </c>
      <c r="D28" s="621">
        <v>4567.8999999999996</v>
      </c>
    </row>
    <row r="29" spans="3:4">
      <c r="C29" s="102">
        <v>1993</v>
      </c>
      <c r="D29" s="620">
        <v>4552.8999999999996</v>
      </c>
    </row>
    <row r="30" spans="3:4">
      <c r="C30" s="100">
        <v>1994</v>
      </c>
      <c r="D30" s="621">
        <v>4495.3999999999996</v>
      </c>
    </row>
    <row r="31" spans="3:4">
      <c r="C31" s="102">
        <v>1995</v>
      </c>
      <c r="D31" s="620">
        <v>4721</v>
      </c>
    </row>
    <row r="32" spans="3:4">
      <c r="C32" s="100">
        <v>1996</v>
      </c>
      <c r="D32" s="621">
        <v>5078.8999999999996</v>
      </c>
    </row>
    <row r="33" spans="3:4">
      <c r="C33" s="102">
        <v>1997</v>
      </c>
      <c r="D33" s="620">
        <v>5371.7</v>
      </c>
    </row>
    <row r="34" spans="3:4">
      <c r="C34" s="100">
        <v>1998</v>
      </c>
      <c r="D34" s="621">
        <v>5696.7</v>
      </c>
    </row>
    <row r="35" spans="3:4">
      <c r="C35" s="102">
        <v>1999</v>
      </c>
      <c r="D35" s="620">
        <v>5987.4</v>
      </c>
    </row>
    <row r="36" spans="3:4">
      <c r="C36" s="100">
        <v>2000</v>
      </c>
      <c r="D36" s="621">
        <v>6202.6</v>
      </c>
    </row>
    <row r="37" spans="3:4">
      <c r="C37" s="102">
        <v>2001</v>
      </c>
      <c r="D37" s="620">
        <v>6489.7</v>
      </c>
    </row>
    <row r="38" spans="3:4">
      <c r="C38" s="100">
        <v>2002</v>
      </c>
      <c r="D38" s="621">
        <v>6753.7</v>
      </c>
    </row>
    <row r="39" spans="3:4">
      <c r="C39" s="102">
        <v>2003</v>
      </c>
      <c r="D39" s="620">
        <v>6299.9</v>
      </c>
    </row>
    <row r="40" spans="3:4">
      <c r="C40" s="100">
        <v>2004</v>
      </c>
      <c r="D40" s="621">
        <v>6263.9</v>
      </c>
    </row>
    <row r="41" spans="3:4">
      <c r="C41" s="102">
        <v>2005</v>
      </c>
      <c r="D41" s="620">
        <v>6268.8</v>
      </c>
    </row>
    <row r="42" spans="3:4">
      <c r="C42" s="100">
        <v>2006</v>
      </c>
      <c r="D42" s="621">
        <v>6054.1</v>
      </c>
    </row>
    <row r="43" spans="3:4">
      <c r="C43" s="102">
        <v>2007</v>
      </c>
      <c r="D43" s="620">
        <v>5854.4</v>
      </c>
    </row>
    <row r="44" spans="3:4">
      <c r="C44" s="100">
        <v>2008</v>
      </c>
      <c r="D44" s="621">
        <v>5825.5</v>
      </c>
    </row>
    <row r="45" spans="3:4">
      <c r="C45" s="102">
        <v>2009</v>
      </c>
      <c r="D45" s="620">
        <v>6677.4</v>
      </c>
    </row>
    <row r="47" spans="3:4">
      <c r="C47" s="107" t="s">
        <v>463</v>
      </c>
    </row>
    <row r="49" spans="3:3">
      <c r="C49" s="107" t="s">
        <v>464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B1:AM24"/>
  <sheetViews>
    <sheetView workbookViewId="0"/>
  </sheetViews>
  <sheetFormatPr defaultRowHeight="15"/>
  <cols>
    <col min="1" max="1" width="2.28515625" customWidth="1"/>
    <col min="2" max="2" width="5.7109375" customWidth="1"/>
    <col min="3" max="3" width="12.7109375" customWidth="1"/>
    <col min="4" max="4" width="19.425781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244</v>
      </c>
    </row>
    <row r="5" spans="2:39" ht="19.5" customHeight="1">
      <c r="C5" s="110" t="s">
        <v>458</v>
      </c>
      <c r="D5" s="111" t="s">
        <v>465</v>
      </c>
    </row>
    <row r="6" spans="2:39" ht="18" customHeight="1">
      <c r="C6" s="961">
        <v>2000</v>
      </c>
      <c r="D6" s="962">
        <v>15.6</v>
      </c>
    </row>
    <row r="7" spans="2:39" ht="18" customHeight="1">
      <c r="C7" s="958">
        <v>2001</v>
      </c>
      <c r="D7" s="112">
        <v>15.6</v>
      </c>
    </row>
    <row r="8" spans="2:39" ht="18" customHeight="1">
      <c r="C8" s="961">
        <v>2002</v>
      </c>
      <c r="D8" s="962">
        <v>16.399999999999999</v>
      </c>
    </row>
    <row r="9" spans="2:39" ht="18" customHeight="1">
      <c r="C9" s="958">
        <v>2003</v>
      </c>
      <c r="D9" s="112">
        <v>16.2</v>
      </c>
    </row>
    <row r="10" spans="2:39" ht="18" customHeight="1">
      <c r="C10" s="961">
        <v>2004</v>
      </c>
      <c r="D10" s="962">
        <v>15.9</v>
      </c>
    </row>
    <row r="11" spans="2:39" ht="18" customHeight="1">
      <c r="C11" s="958">
        <v>2005</v>
      </c>
      <c r="D11" s="112">
        <v>16</v>
      </c>
    </row>
    <row r="12" spans="2:39" ht="18" customHeight="1">
      <c r="C12" s="961">
        <v>2006</v>
      </c>
      <c r="D12" s="962">
        <v>15.3</v>
      </c>
    </row>
    <row r="13" spans="2:39" ht="18" customHeight="1">
      <c r="C13" s="958">
        <v>2007</v>
      </c>
      <c r="D13" s="112">
        <v>12.7</v>
      </c>
    </row>
    <row r="14" spans="2:39" ht="18" customHeight="1">
      <c r="C14" s="959">
        <v>2008</v>
      </c>
      <c r="D14" s="960">
        <v>13.1</v>
      </c>
    </row>
    <row r="24" spans="3:3">
      <c r="C24" s="2" t="s">
        <v>466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B1:AM11"/>
  <sheetViews>
    <sheetView workbookViewId="0"/>
  </sheetViews>
  <sheetFormatPr defaultRowHeight="15"/>
  <cols>
    <col min="1" max="1" width="2.28515625" customWidth="1"/>
    <col min="2" max="2" width="5.7109375" customWidth="1"/>
    <col min="3" max="3" width="14.7109375" customWidth="1"/>
    <col min="4" max="4" width="12.7109375" customWidth="1"/>
    <col min="5" max="5" width="0.5703125" customWidth="1"/>
    <col min="6" max="6" width="12.7109375" customWidth="1"/>
    <col min="7" max="7" width="0.5703125" customWidth="1"/>
    <col min="8" max="16" width="12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246</v>
      </c>
    </row>
    <row r="5" spans="2:39">
      <c r="O5" s="1381" t="s">
        <v>992</v>
      </c>
      <c r="P5" s="1381"/>
    </row>
    <row r="6" spans="2:39">
      <c r="D6" s="173">
        <v>1985</v>
      </c>
      <c r="E6" s="174"/>
      <c r="F6" s="173">
        <v>1998</v>
      </c>
      <c r="G6" s="174"/>
      <c r="H6" s="175">
        <v>2000</v>
      </c>
      <c r="I6" s="176">
        <v>2001</v>
      </c>
      <c r="J6" s="176">
        <v>2002</v>
      </c>
      <c r="K6" s="176">
        <v>2003</v>
      </c>
      <c r="L6" s="176">
        <v>2004</v>
      </c>
      <c r="M6" s="176">
        <v>2005</v>
      </c>
      <c r="N6" s="176">
        <v>2006</v>
      </c>
      <c r="O6" s="176">
        <v>2007</v>
      </c>
      <c r="P6" s="177">
        <v>2008</v>
      </c>
    </row>
    <row r="7" spans="2:39">
      <c r="C7" s="882" t="s">
        <v>538</v>
      </c>
      <c r="D7" s="178">
        <v>582.1</v>
      </c>
      <c r="E7" s="178"/>
      <c r="F7" s="178">
        <v>54863.07</v>
      </c>
      <c r="G7" s="178"/>
      <c r="H7" s="178">
        <v>79684.259999999995</v>
      </c>
      <c r="I7" s="178">
        <v>97007.58</v>
      </c>
      <c r="J7" s="178">
        <v>110381.93</v>
      </c>
      <c r="K7" s="178">
        <v>110267.28</v>
      </c>
      <c r="L7" s="178">
        <v>131761.85</v>
      </c>
      <c r="M7" s="178">
        <v>140505.54999999999</v>
      </c>
      <c r="N7" s="178">
        <v>151380.92000000001</v>
      </c>
      <c r="O7" s="178">
        <v>162905.48000000001</v>
      </c>
      <c r="P7" s="178">
        <v>174831.06</v>
      </c>
    </row>
    <row r="8" spans="2:39">
      <c r="C8" s="551" t="s">
        <v>539</v>
      </c>
      <c r="D8" s="179">
        <v>2.6336985461676363E-5</v>
      </c>
      <c r="E8" s="180"/>
      <c r="F8" s="179">
        <v>5.1515780637310135E-4</v>
      </c>
      <c r="G8" s="180"/>
      <c r="H8" s="181">
        <v>6.5170639886673266E-4</v>
      </c>
      <c r="I8" s="182">
        <v>7.5020296237878414E-4</v>
      </c>
      <c r="J8" s="182">
        <v>8.1502627284066938E-4</v>
      </c>
      <c r="K8" s="182">
        <v>7.9568222316340543E-4</v>
      </c>
      <c r="L8" s="182">
        <v>9.1420018039935853E-4</v>
      </c>
      <c r="M8" s="182">
        <v>9.422098215170348E-4</v>
      </c>
      <c r="N8" s="182">
        <v>9.7384740893253639E-4</v>
      </c>
      <c r="O8" s="182">
        <v>9.9910460791599706E-4</v>
      </c>
      <c r="P8" s="183">
        <v>1.0502721304491713E-3</v>
      </c>
    </row>
    <row r="11" spans="2:39">
      <c r="C11" s="2" t="s">
        <v>540</v>
      </c>
    </row>
  </sheetData>
  <mergeCells count="2">
    <mergeCell ref="O5:P5"/>
    <mergeCell ref="C1:AM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B1:AM34"/>
  <sheetViews>
    <sheetView workbookViewId="0"/>
  </sheetViews>
  <sheetFormatPr defaultRowHeight="15"/>
  <cols>
    <col min="1" max="1" width="2.28515625" customWidth="1"/>
    <col min="2" max="2" width="5.7109375" customWidth="1"/>
    <col min="3" max="3" width="27.7109375" customWidth="1"/>
    <col min="4" max="12" width="14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248</v>
      </c>
    </row>
    <row r="5" spans="2:39">
      <c r="L5" s="225" t="s">
        <v>541</v>
      </c>
    </row>
    <row r="6" spans="2:39" ht="18" customHeight="1">
      <c r="C6" s="110" t="s">
        <v>559</v>
      </c>
      <c r="D6" s="214">
        <v>2001</v>
      </c>
      <c r="E6" s="223">
        <v>2002</v>
      </c>
      <c r="F6" s="223">
        <v>2003</v>
      </c>
      <c r="G6" s="223">
        <v>2004</v>
      </c>
      <c r="H6" s="223">
        <v>2005</v>
      </c>
      <c r="I6" s="223">
        <v>2006</v>
      </c>
      <c r="J6" s="223">
        <v>2007</v>
      </c>
      <c r="K6" s="223">
        <v>2008</v>
      </c>
      <c r="L6" s="224">
        <v>2009</v>
      </c>
    </row>
    <row r="7" spans="2:39" ht="18" customHeight="1">
      <c r="C7" s="226" t="s">
        <v>554</v>
      </c>
      <c r="D7" s="228">
        <v>298694699</v>
      </c>
      <c r="E7" s="229">
        <v>407264586</v>
      </c>
      <c r="F7" s="229">
        <v>427157725</v>
      </c>
      <c r="G7" s="229">
        <v>480369703</v>
      </c>
      <c r="H7" s="229">
        <v>485450548</v>
      </c>
      <c r="I7" s="229">
        <v>492154968</v>
      </c>
      <c r="J7" s="229">
        <v>499607299</v>
      </c>
      <c r="K7" s="229">
        <v>501435232</v>
      </c>
      <c r="L7" s="230">
        <v>542729538</v>
      </c>
    </row>
    <row r="8" spans="2:39" ht="18" customHeight="1">
      <c r="C8" s="227" t="s">
        <v>555</v>
      </c>
      <c r="D8" s="231">
        <v>4338747163</v>
      </c>
      <c r="E8" s="232">
        <v>4629370700</v>
      </c>
      <c r="F8" s="232">
        <v>4542209102</v>
      </c>
      <c r="G8" s="232">
        <v>4526588777</v>
      </c>
      <c r="H8" s="232">
        <v>4711739103</v>
      </c>
      <c r="I8" s="232">
        <v>4640687112</v>
      </c>
      <c r="J8" s="232">
        <v>4418111871</v>
      </c>
      <c r="K8" s="232">
        <v>4382437118</v>
      </c>
      <c r="L8" s="233">
        <v>4749138870</v>
      </c>
    </row>
    <row r="29" spans="3:12">
      <c r="J29" s="1382"/>
      <c r="K29" s="1383"/>
      <c r="L29" s="1383"/>
    </row>
    <row r="30" spans="3:12">
      <c r="J30" s="1382" t="s">
        <v>558</v>
      </c>
      <c r="K30" s="1383"/>
      <c r="L30" s="1383"/>
    </row>
    <row r="32" spans="3:12">
      <c r="C32" s="2" t="s">
        <v>556</v>
      </c>
    </row>
    <row r="34" spans="3:3">
      <c r="C34" s="2" t="s">
        <v>557</v>
      </c>
    </row>
  </sheetData>
  <mergeCells count="3">
    <mergeCell ref="J29:L29"/>
    <mergeCell ref="J30:L30"/>
    <mergeCell ref="C1:AM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B1:AM37"/>
  <sheetViews>
    <sheetView workbookViewId="0"/>
  </sheetViews>
  <sheetFormatPr defaultRowHeight="15"/>
  <cols>
    <col min="1" max="1" width="2.28515625" customWidth="1"/>
    <col min="2" max="2" width="5.7109375" customWidth="1"/>
    <col min="3" max="3" width="33.140625" customWidth="1"/>
    <col min="4" max="12" width="13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250</v>
      </c>
    </row>
    <row r="5" spans="2:39">
      <c r="L5" s="225" t="s">
        <v>541</v>
      </c>
    </row>
    <row r="6" spans="2:39" ht="18" customHeight="1">
      <c r="C6" s="110" t="s">
        <v>560</v>
      </c>
      <c r="D6" s="223">
        <v>2001</v>
      </c>
      <c r="E6" s="223">
        <v>2002</v>
      </c>
      <c r="F6" s="223">
        <v>2003</v>
      </c>
      <c r="G6" s="223">
        <v>2004</v>
      </c>
      <c r="H6" s="223">
        <v>2005</v>
      </c>
      <c r="I6" s="223">
        <v>2006</v>
      </c>
      <c r="J6" s="223">
        <v>2007</v>
      </c>
      <c r="K6" s="223">
        <v>2008</v>
      </c>
      <c r="L6" s="224">
        <v>2009</v>
      </c>
    </row>
    <row r="7" spans="2:39" ht="18" customHeight="1">
      <c r="C7" s="234" t="s">
        <v>561</v>
      </c>
      <c r="D7" s="235">
        <v>194241956</v>
      </c>
      <c r="E7" s="236">
        <v>245428788</v>
      </c>
      <c r="F7" s="236">
        <v>202318799</v>
      </c>
      <c r="G7" s="236">
        <v>262099436</v>
      </c>
      <c r="H7" s="236">
        <v>252801127</v>
      </c>
      <c r="I7" s="236">
        <v>262693160</v>
      </c>
      <c r="J7" s="236">
        <v>270848151</v>
      </c>
      <c r="K7" s="236">
        <v>278837463</v>
      </c>
      <c r="L7" s="236">
        <v>294252277</v>
      </c>
    </row>
    <row r="8" spans="2:39" ht="18" customHeight="1">
      <c r="C8" s="234" t="s">
        <v>562</v>
      </c>
      <c r="D8" s="237">
        <v>43244242</v>
      </c>
      <c r="E8" s="238">
        <v>52376027</v>
      </c>
      <c r="F8" s="238">
        <v>48051938</v>
      </c>
      <c r="G8" s="238">
        <v>58368767</v>
      </c>
      <c r="H8" s="238">
        <v>74449749</v>
      </c>
      <c r="I8" s="238">
        <v>81378658</v>
      </c>
      <c r="J8" s="239"/>
      <c r="K8" s="239"/>
      <c r="L8" s="239"/>
    </row>
    <row r="9" spans="2:39" ht="18" customHeight="1">
      <c r="C9" s="234" t="s">
        <v>563</v>
      </c>
      <c r="D9" s="240"/>
      <c r="E9" s="239"/>
      <c r="F9" s="239"/>
      <c r="G9" s="239"/>
      <c r="H9" s="239"/>
      <c r="I9" s="239"/>
      <c r="J9" s="238">
        <v>253665118</v>
      </c>
      <c r="K9" s="238">
        <v>389211085</v>
      </c>
      <c r="L9" s="238">
        <v>453384613</v>
      </c>
    </row>
    <row r="10" spans="2:39" ht="18" customHeight="1">
      <c r="C10" s="227" t="s">
        <v>564</v>
      </c>
      <c r="D10" s="237">
        <v>25271614</v>
      </c>
      <c r="E10" s="238">
        <v>27066161</v>
      </c>
      <c r="F10" s="238">
        <v>19596077</v>
      </c>
      <c r="G10" s="238">
        <v>17430555</v>
      </c>
      <c r="H10" s="238">
        <v>16259069</v>
      </c>
      <c r="I10" s="238">
        <v>16571902</v>
      </c>
      <c r="J10" s="238">
        <v>23722913</v>
      </c>
      <c r="K10" s="238">
        <v>30122770</v>
      </c>
      <c r="L10" s="238">
        <v>40540948</v>
      </c>
    </row>
    <row r="32" spans="10:12">
      <c r="J32" s="1382" t="s">
        <v>558</v>
      </c>
      <c r="K32" s="1383"/>
      <c r="L32" s="1383"/>
    </row>
    <row r="35" spans="3:3">
      <c r="C35" s="2" t="s">
        <v>565</v>
      </c>
    </row>
    <row r="36" spans="3:3">
      <c r="C36" s="2"/>
    </row>
    <row r="37" spans="3:3">
      <c r="C37" s="2" t="s">
        <v>557</v>
      </c>
    </row>
  </sheetData>
  <mergeCells count="2">
    <mergeCell ref="J32:L32"/>
    <mergeCell ref="C1:AM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AM14"/>
  <sheetViews>
    <sheetView workbookViewId="0"/>
  </sheetViews>
  <sheetFormatPr defaultRowHeight="15"/>
  <cols>
    <col min="1" max="1" width="2.28515625" customWidth="1"/>
    <col min="2" max="2" width="5.7109375" customWidth="1"/>
    <col min="3" max="3" width="22" customWidth="1"/>
    <col min="4" max="10" width="11.7109375" customWidth="1"/>
  </cols>
  <sheetData>
    <row r="1" spans="2:39">
      <c r="B1" s="34"/>
      <c r="C1" s="1086" t="s">
        <v>4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19</v>
      </c>
    </row>
    <row r="5" spans="2:39" ht="38.25">
      <c r="C5" s="372" t="s">
        <v>632</v>
      </c>
      <c r="D5" s="373" t="s">
        <v>469</v>
      </c>
      <c r="E5" s="215" t="s">
        <v>621</v>
      </c>
      <c r="F5" s="215" t="s">
        <v>633</v>
      </c>
      <c r="G5" s="215" t="s">
        <v>634</v>
      </c>
      <c r="H5" s="215" t="s">
        <v>635</v>
      </c>
      <c r="I5" s="215" t="s">
        <v>624</v>
      </c>
      <c r="J5" s="216" t="s">
        <v>625</v>
      </c>
    </row>
    <row r="6" spans="2:39" ht="18" customHeight="1">
      <c r="C6" s="374" t="s">
        <v>636</v>
      </c>
      <c r="D6" s="379">
        <v>5600.8</v>
      </c>
      <c r="E6" s="380">
        <v>225.2</v>
      </c>
      <c r="F6" s="380">
        <v>1327.9</v>
      </c>
      <c r="G6" s="380">
        <v>988.6</v>
      </c>
      <c r="H6" s="380">
        <v>1202.2</v>
      </c>
      <c r="I6" s="380">
        <v>972.8</v>
      </c>
      <c r="J6" s="380">
        <v>884.2</v>
      </c>
    </row>
    <row r="7" spans="2:39" ht="18" customHeight="1">
      <c r="C7" s="375" t="s">
        <v>637</v>
      </c>
      <c r="D7" s="381">
        <v>5008.7</v>
      </c>
      <c r="E7" s="382">
        <v>207.5</v>
      </c>
      <c r="F7" s="382">
        <v>1193.9000000000001</v>
      </c>
      <c r="G7" s="382">
        <v>866.4</v>
      </c>
      <c r="H7" s="382">
        <v>1045</v>
      </c>
      <c r="I7" s="382">
        <v>866.3</v>
      </c>
      <c r="J7" s="383">
        <v>829.6</v>
      </c>
    </row>
    <row r="8" spans="2:39">
      <c r="C8" s="376"/>
      <c r="D8" s="384"/>
      <c r="E8" s="384"/>
      <c r="F8" s="384"/>
      <c r="G8" s="384"/>
      <c r="H8" s="384"/>
      <c r="I8" s="384"/>
      <c r="J8" s="384"/>
    </row>
    <row r="9" spans="2:39" ht="18" customHeight="1">
      <c r="C9" s="377" t="s">
        <v>638</v>
      </c>
      <c r="D9" s="385">
        <v>0.89428295957720316</v>
      </c>
      <c r="E9" s="386">
        <v>0.92140319715808172</v>
      </c>
      <c r="F9" s="386">
        <v>0.89908878680623538</v>
      </c>
      <c r="G9" s="386">
        <v>0.87639085575561393</v>
      </c>
      <c r="H9" s="386">
        <v>0.86923972716686071</v>
      </c>
      <c r="I9" s="386">
        <v>0.89052220394736836</v>
      </c>
      <c r="J9" s="387">
        <v>0.93824926487220084</v>
      </c>
    </row>
    <row r="10" spans="2:39" ht="18" customHeight="1">
      <c r="C10" s="378" t="s">
        <v>639</v>
      </c>
      <c r="D10" s="388">
        <f>SUM(E10:J10)</f>
        <v>1.0000178545922009</v>
      </c>
      <c r="E10" s="389">
        <v>4.0208541636909012E-2</v>
      </c>
      <c r="F10" s="389">
        <v>0.23709112983859448</v>
      </c>
      <c r="G10" s="389">
        <v>0.17651049850021425</v>
      </c>
      <c r="H10" s="389">
        <v>0.21464790744179402</v>
      </c>
      <c r="I10" s="389">
        <v>0.17368947293243822</v>
      </c>
      <c r="J10" s="389">
        <v>0.1578703042422511</v>
      </c>
    </row>
    <row r="14" spans="2:39">
      <c r="C14" s="2" t="s">
        <v>640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B1:AM34"/>
  <sheetViews>
    <sheetView workbookViewId="0"/>
  </sheetViews>
  <sheetFormatPr defaultRowHeight="15"/>
  <cols>
    <col min="1" max="1" width="2.28515625" customWidth="1"/>
    <col min="2" max="2" width="5.7109375" customWidth="1"/>
    <col min="3" max="3" width="25.7109375" customWidth="1"/>
    <col min="4" max="12" width="13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252</v>
      </c>
    </row>
    <row r="5" spans="2:39">
      <c r="L5" s="225" t="s">
        <v>541</v>
      </c>
    </row>
    <row r="6" spans="2:39" ht="17.25" customHeight="1">
      <c r="C6" s="241" t="s">
        <v>566</v>
      </c>
      <c r="D6" s="223">
        <v>2001</v>
      </c>
      <c r="E6" s="223">
        <v>2002</v>
      </c>
      <c r="F6" s="242">
        <v>2003</v>
      </c>
      <c r="G6" s="223">
        <v>2004</v>
      </c>
      <c r="H6" s="223">
        <v>2005</v>
      </c>
      <c r="I6" s="223">
        <v>2006</v>
      </c>
      <c r="J6" s="223">
        <v>2007</v>
      </c>
      <c r="K6" s="223">
        <v>2008</v>
      </c>
      <c r="L6" s="224">
        <v>2009</v>
      </c>
    </row>
    <row r="7" spans="2:39" ht="17.25" customHeight="1">
      <c r="C7" s="234" t="s">
        <v>567</v>
      </c>
      <c r="D7" s="243">
        <v>135740715</v>
      </c>
      <c r="E7" s="244">
        <v>169485293</v>
      </c>
      <c r="F7" s="244">
        <v>208565227</v>
      </c>
      <c r="G7" s="244">
        <v>258111598</v>
      </c>
      <c r="H7" s="244">
        <v>240203605</v>
      </c>
      <c r="I7" s="244">
        <v>203458590</v>
      </c>
      <c r="J7" s="244">
        <v>181962256</v>
      </c>
      <c r="K7" s="244">
        <v>193812948</v>
      </c>
      <c r="L7" s="244">
        <v>213313942</v>
      </c>
    </row>
    <row r="8" spans="2:39" ht="17.25" customHeight="1">
      <c r="C8" s="234" t="s">
        <v>568</v>
      </c>
      <c r="D8" s="245">
        <v>109448296</v>
      </c>
      <c r="E8" s="246">
        <v>117784316</v>
      </c>
      <c r="F8" s="246">
        <v>113575989</v>
      </c>
      <c r="G8" s="246">
        <v>116411510</v>
      </c>
      <c r="H8" s="246">
        <v>119047149</v>
      </c>
      <c r="I8" s="246">
        <v>130141587</v>
      </c>
      <c r="J8" s="246">
        <v>140527707</v>
      </c>
      <c r="K8" s="246">
        <v>156198472</v>
      </c>
      <c r="L8" s="246">
        <v>176006065</v>
      </c>
    </row>
    <row r="9" spans="2:39" ht="17.25" customHeight="1">
      <c r="C9" s="227" t="s">
        <v>569</v>
      </c>
      <c r="D9" s="245">
        <v>13983069</v>
      </c>
      <c r="E9" s="246">
        <v>16041577</v>
      </c>
      <c r="F9" s="246">
        <v>12154852</v>
      </c>
      <c r="G9" s="246">
        <v>11536845</v>
      </c>
      <c r="H9" s="246">
        <v>12884642</v>
      </c>
      <c r="I9" s="246">
        <v>52133886</v>
      </c>
      <c r="J9" s="246">
        <v>90175054</v>
      </c>
      <c r="K9" s="246">
        <v>96954445</v>
      </c>
      <c r="L9" s="246">
        <v>105100292</v>
      </c>
    </row>
    <row r="30" spans="3:12">
      <c r="J30" s="1382" t="s">
        <v>558</v>
      </c>
      <c r="K30" s="1383"/>
      <c r="L30" s="1383"/>
    </row>
    <row r="32" spans="3:12">
      <c r="C32" s="2" t="s">
        <v>556</v>
      </c>
    </row>
    <row r="34" spans="3:3">
      <c r="C34" s="2" t="s">
        <v>557</v>
      </c>
    </row>
  </sheetData>
  <mergeCells count="2">
    <mergeCell ref="J30:L30"/>
    <mergeCell ref="C1:AM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B1:AM19"/>
  <sheetViews>
    <sheetView workbookViewId="0"/>
  </sheetViews>
  <sheetFormatPr defaultRowHeight="15"/>
  <cols>
    <col min="1" max="1" width="2.28515625" customWidth="1"/>
    <col min="2" max="2" width="5.7109375" customWidth="1"/>
    <col min="4" max="4" width="15.28515625" customWidth="1"/>
    <col min="5" max="5" width="0.5703125" customWidth="1"/>
    <col min="6" max="6" width="15.28515625" customWidth="1"/>
    <col min="7" max="7" width="0.5703125" customWidth="1"/>
    <col min="8" max="8" width="15.2851562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254</v>
      </c>
    </row>
    <row r="5" spans="2:39">
      <c r="H5" s="184" t="s">
        <v>541</v>
      </c>
    </row>
    <row r="6" spans="2:39">
      <c r="C6" s="1234" t="s">
        <v>542</v>
      </c>
      <c r="D6" s="1356" t="s">
        <v>543</v>
      </c>
      <c r="E6" s="185"/>
      <c r="F6" s="1134" t="s">
        <v>544</v>
      </c>
      <c r="G6" s="186"/>
      <c r="H6" s="1134" t="s">
        <v>545</v>
      </c>
    </row>
    <row r="7" spans="2:39" ht="31.5" customHeight="1">
      <c r="C7" s="1234"/>
      <c r="D7" s="1177"/>
      <c r="E7" s="185"/>
      <c r="F7" s="1134"/>
      <c r="G7" s="186"/>
      <c r="H7" s="1134"/>
    </row>
    <row r="8" spans="2:39" ht="18" customHeight="1">
      <c r="C8" s="187">
        <v>2000</v>
      </c>
      <c r="D8" s="188">
        <v>4145055601</v>
      </c>
      <c r="E8" s="189"/>
      <c r="F8" s="188">
        <f>662292169-18302476</f>
        <v>643989693</v>
      </c>
      <c r="G8" s="189"/>
      <c r="H8" s="190">
        <f>150892230+18302476</f>
        <v>169194706</v>
      </c>
    </row>
    <row r="9" spans="2:39" ht="18" customHeight="1">
      <c r="C9" s="191">
        <v>2001</v>
      </c>
      <c r="D9" s="192">
        <v>4461403642</v>
      </c>
      <c r="E9" s="189"/>
      <c r="F9" s="192">
        <f>693890155-20120544</f>
        <v>673769611</v>
      </c>
      <c r="G9" s="189"/>
      <c r="H9" s="193">
        <f>194667440+20120544</f>
        <v>214787984</v>
      </c>
    </row>
    <row r="10" spans="2:39" ht="18" customHeight="1">
      <c r="C10" s="187">
        <v>2002</v>
      </c>
      <c r="D10" s="188">
        <v>4822154745</v>
      </c>
      <c r="E10" s="189"/>
      <c r="F10" s="188">
        <f>846187586-(1900+1022325)</f>
        <v>845163361</v>
      </c>
      <c r="G10" s="189"/>
      <c r="H10" s="190">
        <f>179809052+(1900+1022325)</f>
        <v>180833277</v>
      </c>
    </row>
    <row r="11" spans="2:39" ht="18" customHeight="1">
      <c r="C11" s="191">
        <v>2003</v>
      </c>
      <c r="D11" s="192">
        <v>4829534571</v>
      </c>
      <c r="E11" s="189"/>
      <c r="F11" s="192">
        <f>766053659-16904904</f>
        <v>749148755</v>
      </c>
      <c r="G11" s="189"/>
      <c r="H11" s="193">
        <f>142073536+16904904</f>
        <v>158978440</v>
      </c>
    </row>
    <row r="12" spans="2:39" ht="18" customHeight="1">
      <c r="C12" s="187">
        <v>2004</v>
      </c>
      <c r="D12" s="188">
        <v>4881780927</v>
      </c>
      <c r="E12" s="189"/>
      <c r="F12" s="188">
        <f>889520415-18258705</f>
        <v>871261710</v>
      </c>
      <c r="G12" s="189"/>
      <c r="H12" s="190">
        <f>110253209+18258705</f>
        <v>128511914</v>
      </c>
    </row>
    <row r="13" spans="2:39" ht="18" customHeight="1">
      <c r="C13" s="191">
        <v>2005</v>
      </c>
      <c r="D13" s="192">
        <v>5058816707</v>
      </c>
      <c r="E13" s="189"/>
      <c r="F13" s="192">
        <f>921505438-19195629</f>
        <v>902309809</v>
      </c>
      <c r="G13" s="189"/>
      <c r="H13" s="193">
        <f>82451179+19195629</f>
        <v>101646808</v>
      </c>
    </row>
    <row r="14" spans="2:39" ht="18" customHeight="1">
      <c r="C14" s="187">
        <v>2006</v>
      </c>
      <c r="D14" s="188">
        <v>4951676414</v>
      </c>
      <c r="E14" s="189"/>
      <c r="F14" s="188">
        <f>982022081-18783410</f>
        <v>963238671</v>
      </c>
      <c r="G14" s="189"/>
      <c r="H14" s="190">
        <f>90011460+18783410</f>
        <v>108794870</v>
      </c>
    </row>
    <row r="15" spans="2:39" ht="18" customHeight="1">
      <c r="C15" s="191">
        <v>2007</v>
      </c>
      <c r="D15" s="192">
        <v>4860338613</v>
      </c>
      <c r="E15" s="189"/>
      <c r="F15" s="192">
        <f>1083517187-23699520</f>
        <v>1059817667</v>
      </c>
      <c r="G15" s="189"/>
      <c r="H15" s="193">
        <f>77957122+23699520</f>
        <v>101656642</v>
      </c>
    </row>
    <row r="16" spans="2:39" ht="18" customHeight="1">
      <c r="C16" s="194">
        <v>2008</v>
      </c>
      <c r="D16" s="195">
        <v>4904185728</v>
      </c>
      <c r="E16" s="196"/>
      <c r="F16" s="195">
        <f>1166196131-43343576</f>
        <v>1122852555</v>
      </c>
      <c r="G16" s="196"/>
      <c r="H16" s="197">
        <f>91751217+43343576</f>
        <v>135094793</v>
      </c>
    </row>
    <row r="19" spans="3:3">
      <c r="C19" s="2" t="s">
        <v>546</v>
      </c>
    </row>
  </sheetData>
  <mergeCells count="5">
    <mergeCell ref="C6:C7"/>
    <mergeCell ref="D6:D7"/>
    <mergeCell ref="F6:F7"/>
    <mergeCell ref="H6:H7"/>
    <mergeCell ref="C1:AM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B1:AM28"/>
  <sheetViews>
    <sheetView workbookViewId="0"/>
  </sheetViews>
  <sheetFormatPr defaultRowHeight="15"/>
  <cols>
    <col min="1" max="1" width="2.28515625" customWidth="1"/>
    <col min="2" max="2" width="5.7109375" customWidth="1"/>
    <col min="4" max="5" width="14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256</v>
      </c>
    </row>
    <row r="5" spans="2:39" ht="27.75" customHeight="1">
      <c r="C5" s="198" t="s">
        <v>542</v>
      </c>
      <c r="D5" s="105" t="s">
        <v>547</v>
      </c>
      <c r="E5" s="199" t="s">
        <v>548</v>
      </c>
    </row>
    <row r="6" spans="2:39" ht="17.25" customHeight="1">
      <c r="C6" s="200">
        <v>2000</v>
      </c>
      <c r="D6" s="201">
        <v>3125.8519913519262</v>
      </c>
      <c r="E6" s="202">
        <v>1481016</v>
      </c>
    </row>
    <row r="7" spans="2:39" ht="17.25" customHeight="1">
      <c r="C7" s="203">
        <v>2001</v>
      </c>
      <c r="D7" s="204">
        <v>3450.0153440451281</v>
      </c>
      <c r="E7" s="205">
        <v>1450578</v>
      </c>
    </row>
    <row r="8" spans="2:39" ht="17.25" customHeight="1">
      <c r="C8" s="206">
        <v>2002</v>
      </c>
      <c r="D8" s="207">
        <v>3801.1028280811356</v>
      </c>
      <c r="E8" s="208">
        <v>1416296</v>
      </c>
    </row>
    <row r="9" spans="2:39" ht="17.25" customHeight="1">
      <c r="C9" s="203">
        <v>2003</v>
      </c>
      <c r="D9" s="204">
        <v>3825.5149059117225</v>
      </c>
      <c r="E9" s="205">
        <v>1400015</v>
      </c>
    </row>
    <row r="10" spans="2:39" ht="17.25" customHeight="1">
      <c r="C10" s="206">
        <v>2004</v>
      </c>
      <c r="D10" s="207">
        <v>3868.606398119774</v>
      </c>
      <c r="E10" s="208">
        <v>1390471</v>
      </c>
    </row>
    <row r="11" spans="2:39" ht="17.25" customHeight="1">
      <c r="C11" s="203">
        <v>2005</v>
      </c>
      <c r="D11" s="204">
        <v>4074.6574348234012</v>
      </c>
      <c r="E11" s="205">
        <v>1367477</v>
      </c>
    </row>
    <row r="12" spans="2:39" ht="17.25" customHeight="1">
      <c r="C12" s="206">
        <v>2006</v>
      </c>
      <c r="D12" s="207">
        <v>4084.1037960058316</v>
      </c>
      <c r="E12" s="208">
        <v>1351921</v>
      </c>
    </row>
    <row r="13" spans="2:39" ht="17.25" customHeight="1">
      <c r="C13" s="203">
        <v>2007</v>
      </c>
      <c r="D13" s="204">
        <v>3895.9748652779776</v>
      </c>
      <c r="E13" s="205">
        <v>1369301</v>
      </c>
    </row>
    <row r="14" spans="2:39" ht="17.25" customHeight="1">
      <c r="C14" s="209">
        <v>2008</v>
      </c>
      <c r="D14" s="210">
        <v>4135.0331002524799</v>
      </c>
      <c r="E14" s="211">
        <v>1371198</v>
      </c>
    </row>
    <row r="27" spans="3:4">
      <c r="C27" s="1051" t="s">
        <v>993</v>
      </c>
    </row>
    <row r="28" spans="3:4">
      <c r="D28" s="2" t="s">
        <v>549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B1:AM28"/>
  <sheetViews>
    <sheetView workbookViewId="0"/>
  </sheetViews>
  <sheetFormatPr defaultRowHeight="15"/>
  <cols>
    <col min="1" max="1" width="2.28515625" customWidth="1"/>
    <col min="2" max="2" width="5.7109375" customWidth="1"/>
    <col min="4" max="5" width="15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258</v>
      </c>
    </row>
    <row r="5" spans="2:39">
      <c r="D5" s="212"/>
      <c r="E5" s="213" t="s">
        <v>541</v>
      </c>
    </row>
    <row r="6" spans="2:39">
      <c r="C6" s="214" t="s">
        <v>542</v>
      </c>
      <c r="D6" s="215" t="s">
        <v>550</v>
      </c>
      <c r="E6" s="216" t="s">
        <v>551</v>
      </c>
    </row>
    <row r="7" spans="2:39" ht="17.25" customHeight="1">
      <c r="C7" s="217">
        <v>2000</v>
      </c>
      <c r="D7" s="218">
        <v>113723576</v>
      </c>
      <c r="E7" s="219"/>
    </row>
    <row r="8" spans="2:39" ht="17.25" customHeight="1">
      <c r="C8" s="203">
        <v>2001</v>
      </c>
      <c r="D8" s="204">
        <v>109448295</v>
      </c>
      <c r="E8" s="219"/>
    </row>
    <row r="9" spans="2:39" ht="17.25" customHeight="1">
      <c r="C9" s="217">
        <v>2002</v>
      </c>
      <c r="D9" s="218">
        <v>117784316</v>
      </c>
      <c r="E9" s="219"/>
    </row>
    <row r="10" spans="2:39" ht="17.25" customHeight="1">
      <c r="C10" s="203">
        <v>2003</v>
      </c>
      <c r="D10" s="204">
        <v>113575989</v>
      </c>
      <c r="E10" s="219"/>
    </row>
    <row r="11" spans="2:39" ht="17.25" customHeight="1">
      <c r="C11" s="217">
        <v>2004</v>
      </c>
      <c r="D11" s="218">
        <v>116411510</v>
      </c>
      <c r="E11" s="219"/>
    </row>
    <row r="12" spans="2:39" ht="17.25" customHeight="1">
      <c r="C12" s="203">
        <v>2005</v>
      </c>
      <c r="D12" s="204">
        <v>119047149</v>
      </c>
      <c r="E12" s="219"/>
    </row>
    <row r="13" spans="2:39" ht="17.25" customHeight="1">
      <c r="C13" s="217">
        <v>2006</v>
      </c>
      <c r="D13" s="218">
        <v>130141587</v>
      </c>
      <c r="E13" s="219"/>
    </row>
    <row r="14" spans="2:39" ht="17.25" customHeight="1">
      <c r="C14" s="203">
        <v>2007</v>
      </c>
      <c r="D14" s="204">
        <v>140527707</v>
      </c>
      <c r="E14" s="219"/>
    </row>
    <row r="15" spans="2:39" ht="17.25" customHeight="1">
      <c r="C15" s="217">
        <v>2008</v>
      </c>
      <c r="D15" s="218">
        <v>156198472</v>
      </c>
      <c r="E15" s="219"/>
    </row>
    <row r="16" spans="2:39" ht="17.25" customHeight="1">
      <c r="C16" s="220">
        <v>2009</v>
      </c>
      <c r="D16" s="221">
        <v>176006965</v>
      </c>
      <c r="E16" s="222">
        <v>177832450</v>
      </c>
    </row>
    <row r="26" spans="3:3">
      <c r="C26" s="2" t="s">
        <v>553</v>
      </c>
    </row>
    <row r="28" spans="3:3">
      <c r="C28" s="2" t="s">
        <v>552</v>
      </c>
    </row>
  </sheetData>
  <mergeCells count="1">
    <mergeCell ref="C1:AM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B1:AM25"/>
  <sheetViews>
    <sheetView workbookViewId="0"/>
  </sheetViews>
  <sheetFormatPr defaultRowHeight="15"/>
  <cols>
    <col min="1" max="1" width="2.28515625" customWidth="1"/>
    <col min="2" max="2" width="5.7109375" customWidth="1"/>
    <col min="4" max="4" width="16.7109375" customWidth="1"/>
    <col min="5" max="5" width="0.5703125" customWidth="1"/>
    <col min="6" max="7" width="16.7109375" customWidth="1"/>
  </cols>
  <sheetData>
    <row r="1" spans="2:39">
      <c r="B1" s="47"/>
      <c r="C1" s="1337" t="s">
        <v>192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323</v>
      </c>
    </row>
    <row r="5" spans="2:39">
      <c r="C5" s="1384" t="s">
        <v>467</v>
      </c>
      <c r="D5" s="1385"/>
      <c r="E5" s="1385"/>
      <c r="F5" s="1385"/>
      <c r="G5" s="1385"/>
    </row>
    <row r="6" spans="2:39">
      <c r="C6" s="113"/>
      <c r="D6" s="1386" t="s">
        <v>468</v>
      </c>
      <c r="E6" s="1386"/>
      <c r="F6" s="1386"/>
      <c r="G6" s="1386"/>
    </row>
    <row r="7" spans="2:39" ht="17.25" customHeight="1">
      <c r="C7" s="1387" t="s">
        <v>458</v>
      </c>
      <c r="D7" s="1388" t="s">
        <v>469</v>
      </c>
      <c r="E7" s="114"/>
      <c r="F7" s="1390" t="s">
        <v>470</v>
      </c>
      <c r="G7" s="1390"/>
    </row>
    <row r="8" spans="2:39" ht="16.5" customHeight="1">
      <c r="C8" s="1387"/>
      <c r="D8" s="1389"/>
      <c r="E8" s="115"/>
      <c r="F8" s="122" t="s">
        <v>471</v>
      </c>
      <c r="G8" s="123" t="s">
        <v>472</v>
      </c>
    </row>
    <row r="9" spans="2:39" s="2" customFormat="1" ht="17.25" customHeight="1">
      <c r="C9" s="116">
        <v>1995</v>
      </c>
      <c r="D9" s="118">
        <v>27402185.699999999</v>
      </c>
      <c r="E9" s="118"/>
      <c r="F9" s="118">
        <v>25762557.199999999</v>
      </c>
      <c r="G9" s="119">
        <v>1639628.5</v>
      </c>
    </row>
    <row r="10" spans="2:39" s="2" customFormat="1" ht="17.25" customHeight="1">
      <c r="C10" s="117">
        <v>1996</v>
      </c>
      <c r="D10" s="120">
        <v>29734290.399999999</v>
      </c>
      <c r="E10" s="118"/>
      <c r="F10" s="120">
        <v>27280853.100000001</v>
      </c>
      <c r="G10" s="121">
        <v>2453437.2000000002</v>
      </c>
    </row>
    <row r="11" spans="2:39" s="2" customFormat="1" ht="17.25" customHeight="1">
      <c r="C11" s="116">
        <v>1997</v>
      </c>
      <c r="D11" s="118">
        <v>42778992.600000001</v>
      </c>
      <c r="E11" s="118"/>
      <c r="F11" s="118">
        <v>33271465.800000001</v>
      </c>
      <c r="G11" s="119">
        <v>9507526.9000000004</v>
      </c>
    </row>
    <row r="12" spans="2:39" s="2" customFormat="1" ht="17.25" customHeight="1">
      <c r="C12" s="117">
        <v>1998</v>
      </c>
      <c r="D12" s="120">
        <v>57895581.700000003</v>
      </c>
      <c r="E12" s="118"/>
      <c r="F12" s="120">
        <v>43625936.5</v>
      </c>
      <c r="G12" s="121">
        <v>14269645.199999999</v>
      </c>
    </row>
    <row r="13" spans="2:39" s="2" customFormat="1" ht="17.25" customHeight="1">
      <c r="C13" s="116">
        <v>1999</v>
      </c>
      <c r="D13" s="118">
        <v>63996532.799999997</v>
      </c>
      <c r="E13" s="118"/>
      <c r="F13" s="118">
        <v>44318228</v>
      </c>
      <c r="G13" s="119">
        <v>19678304.800000001</v>
      </c>
    </row>
    <row r="14" spans="2:39" s="2" customFormat="1" ht="17.25" customHeight="1">
      <c r="C14" s="117">
        <v>2000</v>
      </c>
      <c r="D14" s="120">
        <v>80064113</v>
      </c>
      <c r="E14" s="118"/>
      <c r="F14" s="120">
        <v>56649454.799999997</v>
      </c>
      <c r="G14" s="121">
        <v>23414658.199999999</v>
      </c>
    </row>
    <row r="15" spans="2:39" s="2" customFormat="1" ht="17.25" customHeight="1">
      <c r="C15" s="116">
        <v>2001</v>
      </c>
      <c r="D15" s="118">
        <v>84559853.200000003</v>
      </c>
      <c r="E15" s="118"/>
      <c r="F15" s="118">
        <v>59354859.799999997</v>
      </c>
      <c r="G15" s="119">
        <v>25204993.399999999</v>
      </c>
    </row>
    <row r="16" spans="2:39" s="2" customFormat="1" ht="17.25" customHeight="1">
      <c r="C16" s="117">
        <v>2002</v>
      </c>
      <c r="D16" s="120">
        <v>83063796.200000003</v>
      </c>
      <c r="E16" s="118"/>
      <c r="F16" s="120">
        <v>58123547</v>
      </c>
      <c r="G16" s="121">
        <v>24940249.199999999</v>
      </c>
    </row>
    <row r="17" spans="3:7" s="2" customFormat="1" ht="17.25" customHeight="1">
      <c r="C17" s="116">
        <v>2003</v>
      </c>
      <c r="D17" s="118">
        <v>78362451.400000006</v>
      </c>
      <c r="E17" s="118"/>
      <c r="F17" s="118">
        <v>54317933</v>
      </c>
      <c r="G17" s="119">
        <v>24044518.399999999</v>
      </c>
    </row>
    <row r="18" spans="3:7" s="2" customFormat="1" ht="17.25" customHeight="1">
      <c r="C18" s="117">
        <v>2004</v>
      </c>
      <c r="D18" s="120">
        <v>89054313.700000003</v>
      </c>
      <c r="E18" s="118"/>
      <c r="F18" s="120">
        <v>65145740.899999999</v>
      </c>
      <c r="G18" s="121">
        <v>23908572.800000001</v>
      </c>
    </row>
    <row r="19" spans="3:7" s="2" customFormat="1" ht="17.25" customHeight="1">
      <c r="C19" s="116">
        <v>2005</v>
      </c>
      <c r="D19" s="118">
        <v>88967157.299999997</v>
      </c>
      <c r="E19" s="118"/>
      <c r="F19" s="118">
        <v>68023430.700000003</v>
      </c>
      <c r="G19" s="119">
        <v>20943726.600000001</v>
      </c>
    </row>
    <row r="20" spans="3:7" s="2" customFormat="1" ht="17.25" customHeight="1">
      <c r="C20" s="117">
        <v>2006</v>
      </c>
      <c r="D20" s="120">
        <v>88405754.700000003</v>
      </c>
      <c r="E20" s="118"/>
      <c r="F20" s="120">
        <v>67788505</v>
      </c>
      <c r="G20" s="121">
        <v>20617249.699999999</v>
      </c>
    </row>
    <row r="21" spans="3:7" s="2" customFormat="1" ht="17.25" customHeight="1">
      <c r="C21" s="116">
        <v>2007</v>
      </c>
      <c r="D21" s="118">
        <v>116466917.40000001</v>
      </c>
      <c r="E21" s="118"/>
      <c r="F21" s="118">
        <v>93065755</v>
      </c>
      <c r="G21" s="119">
        <v>23401162.399999999</v>
      </c>
    </row>
    <row r="22" spans="3:7" s="2" customFormat="1" ht="17.25" customHeight="1">
      <c r="C22" s="117">
        <v>2008</v>
      </c>
      <c r="D22" s="120">
        <v>124043315.7</v>
      </c>
      <c r="E22" s="118"/>
      <c r="F22" s="120">
        <v>99526252</v>
      </c>
      <c r="G22" s="121">
        <v>24517063.699999999</v>
      </c>
    </row>
    <row r="25" spans="3:7">
      <c r="C25" s="2" t="s">
        <v>473</v>
      </c>
    </row>
  </sheetData>
  <mergeCells count="6">
    <mergeCell ref="C1:AM1"/>
    <mergeCell ref="C5:G5"/>
    <mergeCell ref="D6:G6"/>
    <mergeCell ref="C7:C8"/>
    <mergeCell ref="D7:D8"/>
    <mergeCell ref="F7:G7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B1:AM27"/>
  <sheetViews>
    <sheetView workbookViewId="0"/>
  </sheetViews>
  <sheetFormatPr defaultRowHeight="15"/>
  <cols>
    <col min="1" max="1" width="2.28515625" customWidth="1"/>
    <col min="2" max="2" width="5.7109375" customWidth="1"/>
    <col min="3" max="3" width="26.85546875" customWidth="1"/>
    <col min="4" max="4" width="41.5703125" customWidth="1"/>
    <col min="5" max="5" width="2.7109375" customWidth="1"/>
    <col min="17" max="17" width="0.42578125" customWidth="1"/>
  </cols>
  <sheetData>
    <row r="1" spans="2:39">
      <c r="B1" s="44"/>
      <c r="C1" s="1404" t="s">
        <v>262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263</v>
      </c>
    </row>
    <row r="5" spans="2:39">
      <c r="C5" s="1396"/>
      <c r="D5" s="1170"/>
      <c r="E5" s="1397"/>
      <c r="F5" s="1398" t="s">
        <v>474</v>
      </c>
      <c r="G5" s="1399"/>
      <c r="H5" s="1399"/>
      <c r="I5" s="1399"/>
      <c r="J5" s="1399"/>
      <c r="K5" s="1399"/>
      <c r="L5" s="1399"/>
      <c r="M5" s="1399"/>
      <c r="N5" s="1399"/>
      <c r="O5" s="1399"/>
      <c r="P5" s="1400"/>
      <c r="R5" s="1401" t="s">
        <v>475</v>
      </c>
      <c r="S5" s="1402"/>
    </row>
    <row r="6" spans="2:39">
      <c r="C6" s="1170"/>
      <c r="D6" s="1170"/>
      <c r="E6" s="1397"/>
      <c r="F6" s="152">
        <v>1999</v>
      </c>
      <c r="G6" s="124">
        <v>2000</v>
      </c>
      <c r="H6" s="124">
        <v>2001</v>
      </c>
      <c r="I6" s="124">
        <v>2002</v>
      </c>
      <c r="J6" s="124">
        <v>2003</v>
      </c>
      <c r="K6" s="124">
        <v>2004</v>
      </c>
      <c r="L6" s="124">
        <v>2005</v>
      </c>
      <c r="M6" s="124">
        <v>2006</v>
      </c>
      <c r="N6" s="124">
        <v>2007</v>
      </c>
      <c r="O6" s="124">
        <v>2008</v>
      </c>
      <c r="P6" s="125">
        <v>2009</v>
      </c>
      <c r="R6" s="126">
        <v>2010</v>
      </c>
      <c r="S6" s="126">
        <v>2020</v>
      </c>
    </row>
    <row r="7" spans="2:39" ht="18" customHeight="1">
      <c r="C7" s="1403" t="s">
        <v>476</v>
      </c>
      <c r="D7" s="1170"/>
      <c r="E7" s="153" t="s">
        <v>485</v>
      </c>
      <c r="F7" s="127">
        <v>0.78188276743195628</v>
      </c>
      <c r="G7" s="127">
        <v>0.80846196728244346</v>
      </c>
      <c r="H7" s="127">
        <v>0.83033431401345359</v>
      </c>
      <c r="I7" s="127">
        <v>0.84755600717045154</v>
      </c>
      <c r="J7" s="127">
        <v>0.8368884643956277</v>
      </c>
      <c r="K7" s="127">
        <v>0.85551813389299614</v>
      </c>
      <c r="L7" s="127">
        <v>0.85129282951718621</v>
      </c>
      <c r="M7" s="127">
        <v>0.85013137385882875</v>
      </c>
      <c r="N7" s="127">
        <v>0.86658602533086659</v>
      </c>
      <c r="O7" s="128" t="s">
        <v>337</v>
      </c>
      <c r="P7" s="128" t="s">
        <v>337</v>
      </c>
      <c r="R7" s="129">
        <v>0</v>
      </c>
      <c r="S7" s="129">
        <v>0.95</v>
      </c>
    </row>
    <row r="8" spans="2:39" ht="18" customHeight="1">
      <c r="C8" s="1391" t="s">
        <v>477</v>
      </c>
      <c r="D8" s="1170"/>
      <c r="E8" s="154" t="s">
        <v>496</v>
      </c>
      <c r="F8" s="132">
        <v>0.44700000000000001</v>
      </c>
      <c r="G8" s="131">
        <v>0.42699999999999999</v>
      </c>
      <c r="H8" s="130">
        <v>0.44</v>
      </c>
      <c r="I8" s="130">
        <v>0.45100000000000001</v>
      </c>
      <c r="J8" s="130">
        <v>0.40400000000000003</v>
      </c>
      <c r="K8" s="130">
        <v>0.39400000000000002</v>
      </c>
      <c r="L8" s="130">
        <v>0.38600000000000001</v>
      </c>
      <c r="M8" s="130">
        <v>0.39200000000000002</v>
      </c>
      <c r="N8" s="130">
        <v>0.36299999999999999</v>
      </c>
      <c r="O8" s="132">
        <v>0.35899999999999999</v>
      </c>
      <c r="P8" s="130">
        <v>0.316</v>
      </c>
      <c r="R8" s="129">
        <v>0.1</v>
      </c>
      <c r="S8" s="129">
        <v>0.1</v>
      </c>
    </row>
    <row r="9" spans="2:39" ht="18" customHeight="1">
      <c r="C9" s="1391" t="s">
        <v>478</v>
      </c>
      <c r="D9" s="1170"/>
      <c r="E9" s="154" t="s">
        <v>486</v>
      </c>
      <c r="F9" s="134">
        <v>0.40100000000000002</v>
      </c>
      <c r="G9" s="133">
        <v>0.432</v>
      </c>
      <c r="H9" s="133">
        <v>0.44400000000000001</v>
      </c>
      <c r="I9" s="133">
        <v>0.44400000000000001</v>
      </c>
      <c r="J9" s="133">
        <v>0.47899999999999998</v>
      </c>
      <c r="K9" s="133">
        <v>0.496</v>
      </c>
      <c r="L9" s="133">
        <v>0.49</v>
      </c>
      <c r="M9" s="133">
        <v>0.496</v>
      </c>
      <c r="N9" s="133">
        <v>0.53400000000000003</v>
      </c>
      <c r="O9" s="134">
        <v>0.54300000000000004</v>
      </c>
      <c r="P9" s="135" t="s">
        <v>337</v>
      </c>
      <c r="R9" s="136">
        <v>0.85</v>
      </c>
      <c r="S9" s="137" t="s">
        <v>479</v>
      </c>
    </row>
    <row r="10" spans="2:39" ht="18" customHeight="1">
      <c r="C10" s="1395" t="s">
        <v>480</v>
      </c>
      <c r="D10" s="1170"/>
      <c r="E10" s="153" t="s">
        <v>487</v>
      </c>
      <c r="F10" s="149">
        <v>0.4081632653061224</v>
      </c>
      <c r="G10" s="138">
        <v>0.41584158415841588</v>
      </c>
      <c r="H10" s="138">
        <v>0.42307692307692307</v>
      </c>
      <c r="I10" s="138">
        <v>0.41025641025641024</v>
      </c>
      <c r="J10" s="138">
        <v>0.41538461538461541</v>
      </c>
      <c r="K10" s="138">
        <v>0.40804597701149425</v>
      </c>
      <c r="L10" s="138">
        <v>0.40106951871657753</v>
      </c>
      <c r="M10" s="138">
        <v>0.39473684210526316</v>
      </c>
      <c r="N10" s="139">
        <v>0.34962406015037595</v>
      </c>
      <c r="O10" s="135" t="s">
        <v>337</v>
      </c>
      <c r="P10" s="135" t="s">
        <v>337</v>
      </c>
      <c r="R10" s="140" t="s">
        <v>481</v>
      </c>
      <c r="S10" s="137" t="s">
        <v>479</v>
      </c>
    </row>
    <row r="11" spans="2:39" ht="18" customHeight="1">
      <c r="C11" s="1391" t="s">
        <v>482</v>
      </c>
      <c r="D11" s="1170"/>
      <c r="E11" s="154" t="s">
        <v>488</v>
      </c>
      <c r="F11" s="134">
        <v>0.11952220351187599</v>
      </c>
      <c r="G11" s="141">
        <v>0.124666754457089</v>
      </c>
      <c r="H11" s="133">
        <v>0.13025123739445901</v>
      </c>
      <c r="I11" s="133">
        <v>0.139001289537872</v>
      </c>
      <c r="J11" s="133">
        <v>0.158255005311005</v>
      </c>
      <c r="K11" s="133">
        <v>0.17752914968203301</v>
      </c>
      <c r="L11" s="133">
        <v>0.19022074866836799</v>
      </c>
      <c r="M11" s="133">
        <v>0.19217555136707901</v>
      </c>
      <c r="N11" s="133">
        <v>0.20867593671187501</v>
      </c>
      <c r="O11" s="134">
        <v>0.22950156396692201</v>
      </c>
      <c r="P11" s="133">
        <v>0.223750683106439</v>
      </c>
      <c r="R11" s="142">
        <v>0</v>
      </c>
      <c r="S11" s="129">
        <v>0.4</v>
      </c>
    </row>
    <row r="12" spans="2:39" ht="18" customHeight="1">
      <c r="C12" s="1395" t="s">
        <v>483</v>
      </c>
      <c r="D12" s="1170"/>
      <c r="E12" s="154" t="s">
        <v>489</v>
      </c>
      <c r="F12" s="150" t="s">
        <v>479</v>
      </c>
      <c r="G12" s="143">
        <f>340%/100</f>
        <v>3.4000000000000002E-2</v>
      </c>
      <c r="H12" s="143">
        <f>330%/100</f>
        <v>3.3000000000000002E-2</v>
      </c>
      <c r="I12" s="143">
        <f>290%/100</f>
        <v>2.8999999999999998E-2</v>
      </c>
      <c r="J12" s="143">
        <f>320%/100</f>
        <v>3.2000000000000001E-2</v>
      </c>
      <c r="K12" s="143">
        <f>430%/100</f>
        <v>4.2999999999999997E-2</v>
      </c>
      <c r="L12" s="143">
        <f>410%/100</f>
        <v>4.0999999999999995E-2</v>
      </c>
      <c r="M12" s="143">
        <f>420%/100</f>
        <v>4.2000000000000003E-2</v>
      </c>
      <c r="N12" s="143">
        <f>440%/100</f>
        <v>4.4000000000000004E-2</v>
      </c>
      <c r="O12" s="143">
        <f>530%/100</f>
        <v>5.2999999999999999E-2</v>
      </c>
      <c r="P12" s="143">
        <f>650%/100</f>
        <v>6.5000000000000002E-2</v>
      </c>
      <c r="R12" s="144">
        <v>0.125</v>
      </c>
      <c r="S12" s="129">
        <v>0.15</v>
      </c>
    </row>
    <row r="13" spans="2:39" ht="18" customHeight="1">
      <c r="C13" s="1391" t="s">
        <v>484</v>
      </c>
      <c r="D13" s="1170"/>
      <c r="E13" s="154" t="s">
        <v>490</v>
      </c>
      <c r="F13" s="151">
        <v>5.4300000000000001E-2</v>
      </c>
      <c r="G13" s="146">
        <v>5.4199999999999998E-2</v>
      </c>
      <c r="H13" s="145">
        <v>5.6099999999999997E-2</v>
      </c>
      <c r="I13" s="145">
        <v>5.5399999999999998E-2</v>
      </c>
      <c r="J13" s="145">
        <v>5.57E-2</v>
      </c>
      <c r="K13" s="145">
        <v>5.2900000000000003E-2</v>
      </c>
      <c r="L13" s="145">
        <v>5.3900000000000003E-2</v>
      </c>
      <c r="M13" s="145">
        <v>5.2499999999999998E-2</v>
      </c>
      <c r="N13" s="145">
        <v>5.2999999999999999E-2</v>
      </c>
      <c r="O13" s="135" t="s">
        <v>337</v>
      </c>
      <c r="P13" s="135" t="s">
        <v>337</v>
      </c>
      <c r="R13" s="147" t="s">
        <v>479</v>
      </c>
      <c r="S13" s="148" t="s">
        <v>479</v>
      </c>
    </row>
    <row r="16" spans="2:39">
      <c r="C16" s="155" t="s">
        <v>491</v>
      </c>
      <c r="D16" s="2"/>
      <c r="E16" s="2"/>
      <c r="F16" s="2"/>
      <c r="G16" s="2"/>
      <c r="H16" s="2"/>
      <c r="I16" s="2"/>
      <c r="J16" s="2"/>
      <c r="K16" s="2"/>
    </row>
    <row r="17" spans="3:11">
      <c r="C17" s="2" t="s">
        <v>497</v>
      </c>
      <c r="D17" s="2"/>
      <c r="E17" s="2"/>
      <c r="F17" s="2"/>
      <c r="G17" s="2"/>
      <c r="H17" s="2"/>
      <c r="I17" s="2"/>
      <c r="J17" s="2"/>
      <c r="K17" s="2"/>
    </row>
    <row r="18" spans="3:11">
      <c r="C18" s="2" t="s">
        <v>498</v>
      </c>
      <c r="D18" s="2"/>
      <c r="E18" s="2"/>
      <c r="F18" s="2"/>
      <c r="G18" s="2"/>
      <c r="H18" s="2"/>
      <c r="I18" s="2"/>
      <c r="J18" s="2"/>
      <c r="K18" s="2"/>
    </row>
    <row r="19" spans="3:11">
      <c r="C19" s="2" t="s">
        <v>499</v>
      </c>
      <c r="D19" s="2"/>
      <c r="E19" s="2"/>
      <c r="F19" s="2"/>
      <c r="G19" s="2"/>
      <c r="H19" s="2"/>
      <c r="I19" s="2"/>
      <c r="J19" s="2"/>
      <c r="K19" s="2"/>
    </row>
    <row r="20" spans="3:11">
      <c r="C20" s="2" t="s">
        <v>501</v>
      </c>
      <c r="D20" s="2"/>
      <c r="E20" s="2"/>
      <c r="F20" s="2"/>
      <c r="G20" s="2"/>
      <c r="H20" s="2"/>
      <c r="I20" s="2"/>
      <c r="J20" s="2"/>
      <c r="K20" s="2"/>
    </row>
    <row r="21" spans="3:11">
      <c r="C21" s="156"/>
      <c r="D21" s="2"/>
      <c r="E21" s="2"/>
      <c r="F21" s="2"/>
      <c r="G21" s="2"/>
      <c r="H21" s="2"/>
      <c r="I21" s="2"/>
      <c r="J21" s="2"/>
      <c r="K21" s="2"/>
    </row>
    <row r="22" spans="3:11">
      <c r="C22" s="156" t="s">
        <v>492</v>
      </c>
      <c r="D22" s="2"/>
      <c r="E22" s="2"/>
      <c r="F22" s="2"/>
      <c r="G22" s="2"/>
      <c r="H22" s="2"/>
      <c r="I22" s="2"/>
      <c r="J22" s="2"/>
      <c r="K22" s="2"/>
    </row>
    <row r="23" spans="3:11">
      <c r="C23" s="1394" t="s">
        <v>493</v>
      </c>
      <c r="D23" s="1087"/>
      <c r="E23" s="2"/>
      <c r="F23" s="2"/>
      <c r="G23" s="2"/>
      <c r="H23" s="2"/>
      <c r="I23" s="2"/>
      <c r="J23" s="2"/>
      <c r="K23" s="2"/>
    </row>
    <row r="24" spans="3:11">
      <c r="C24" s="1394" t="s">
        <v>495</v>
      </c>
      <c r="D24" s="1087"/>
      <c r="E24" s="2"/>
      <c r="F24" s="2"/>
      <c r="G24" s="2"/>
      <c r="H24" s="2"/>
      <c r="I24" s="2"/>
      <c r="J24" s="2"/>
      <c r="K24" s="2"/>
    </row>
    <row r="25" spans="3:11">
      <c r="C25" s="1394" t="s">
        <v>500</v>
      </c>
      <c r="D25" s="1087"/>
      <c r="E25" s="2"/>
      <c r="F25" s="2"/>
      <c r="G25" s="2"/>
      <c r="H25" s="2"/>
      <c r="I25" s="2"/>
      <c r="J25" s="2"/>
      <c r="K25" s="2"/>
    </row>
    <row r="27" spans="3:11">
      <c r="C27" s="1392" t="s">
        <v>494</v>
      </c>
      <c r="D27" s="1393"/>
      <c r="E27" s="1393"/>
      <c r="F27" s="1393"/>
      <c r="G27" s="1393"/>
      <c r="H27" s="1393"/>
      <c r="I27" s="1393"/>
      <c r="J27" s="1393"/>
      <c r="K27" s="1393"/>
    </row>
  </sheetData>
  <mergeCells count="15">
    <mergeCell ref="C5:E6"/>
    <mergeCell ref="F5:P5"/>
    <mergeCell ref="R5:S5"/>
    <mergeCell ref="C7:D7"/>
    <mergeCell ref="C1:AM1"/>
    <mergeCell ref="C8:D8"/>
    <mergeCell ref="C9:D9"/>
    <mergeCell ref="C10:D10"/>
    <mergeCell ref="C11:D11"/>
    <mergeCell ref="C12:D12"/>
    <mergeCell ref="C13:D13"/>
    <mergeCell ref="C27:K27"/>
    <mergeCell ref="C23:D23"/>
    <mergeCell ref="C24:D24"/>
    <mergeCell ref="C25:D25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B1:AM73"/>
  <sheetViews>
    <sheetView workbookViewId="0"/>
  </sheetViews>
  <sheetFormatPr defaultRowHeight="15"/>
  <cols>
    <col min="1" max="1" width="2.28515625" customWidth="1"/>
    <col min="2" max="2" width="5.5703125" customWidth="1"/>
  </cols>
  <sheetData>
    <row r="1" spans="2:39">
      <c r="B1" s="53"/>
      <c r="C1" s="1420" t="s">
        <v>293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294</v>
      </c>
    </row>
    <row r="4" spans="2:39" ht="15.75" thickBot="1"/>
    <row r="5" spans="2:39" ht="16.5" thickTop="1">
      <c r="C5" s="1422" t="s">
        <v>597</v>
      </c>
      <c r="D5" s="1423"/>
      <c r="E5" s="1423"/>
      <c r="F5" s="1423"/>
      <c r="G5" s="1423"/>
      <c r="H5" s="1423"/>
      <c r="I5" s="1423"/>
      <c r="J5" s="1423"/>
      <c r="K5" s="1423"/>
      <c r="L5" s="1423"/>
      <c r="M5" s="1423"/>
      <c r="N5" s="1423"/>
      <c r="O5" s="1423"/>
      <c r="P5" s="1423"/>
      <c r="Q5" s="1423"/>
      <c r="R5" s="1424"/>
    </row>
    <row r="6" spans="2:39">
      <c r="C6" s="1425" t="s">
        <v>306</v>
      </c>
      <c r="D6" s="1411" t="s">
        <v>598</v>
      </c>
      <c r="E6" s="1411"/>
      <c r="F6" s="1411"/>
      <c r="G6" s="1411"/>
      <c r="H6" s="1411"/>
      <c r="I6" s="1411" t="s">
        <v>307</v>
      </c>
      <c r="J6" s="1411"/>
      <c r="K6" s="1411"/>
      <c r="L6" s="1411"/>
      <c r="M6" s="1411"/>
      <c r="N6" s="1411" t="s">
        <v>308</v>
      </c>
      <c r="O6" s="1411"/>
      <c r="P6" s="1411"/>
      <c r="Q6" s="1411"/>
      <c r="R6" s="1412"/>
    </row>
    <row r="7" spans="2:39">
      <c r="C7" s="1408"/>
      <c r="D7" s="1413" t="s">
        <v>599</v>
      </c>
      <c r="E7" s="1415" t="s">
        <v>600</v>
      </c>
      <c r="F7" s="1415"/>
      <c r="G7" s="1415"/>
      <c r="H7" s="1416" t="s">
        <v>601</v>
      </c>
      <c r="I7" s="1413" t="s">
        <v>599</v>
      </c>
      <c r="J7" s="1415" t="s">
        <v>600</v>
      </c>
      <c r="K7" s="1415"/>
      <c r="L7" s="1415"/>
      <c r="M7" s="1416" t="s">
        <v>601</v>
      </c>
      <c r="N7" s="1413" t="s">
        <v>599</v>
      </c>
      <c r="O7" s="1415" t="s">
        <v>600</v>
      </c>
      <c r="P7" s="1415"/>
      <c r="Q7" s="1415"/>
      <c r="R7" s="1418" t="s">
        <v>601</v>
      </c>
    </row>
    <row r="8" spans="2:39" ht="15.75" thickBot="1">
      <c r="C8" s="1409"/>
      <c r="D8" s="1414"/>
      <c r="E8" s="304" t="s">
        <v>602</v>
      </c>
      <c r="F8" s="304" t="s">
        <v>603</v>
      </c>
      <c r="G8" s="304" t="s">
        <v>604</v>
      </c>
      <c r="H8" s="1417"/>
      <c r="I8" s="1414"/>
      <c r="J8" s="304" t="s">
        <v>602</v>
      </c>
      <c r="K8" s="304" t="s">
        <v>603</v>
      </c>
      <c r="L8" s="304" t="s">
        <v>604</v>
      </c>
      <c r="M8" s="1417"/>
      <c r="N8" s="1414"/>
      <c r="O8" s="304" t="s">
        <v>602</v>
      </c>
      <c r="P8" s="304" t="s">
        <v>603</v>
      </c>
      <c r="Q8" s="304" t="s">
        <v>604</v>
      </c>
      <c r="R8" s="1419"/>
    </row>
    <row r="9" spans="2:39" ht="15.75" thickTop="1">
      <c r="C9" s="305">
        <v>3</v>
      </c>
      <c r="D9" s="306">
        <v>43.953688642235193</v>
      </c>
      <c r="E9" s="307">
        <v>0</v>
      </c>
      <c r="F9" s="307">
        <v>0</v>
      </c>
      <c r="G9" s="307">
        <v>0</v>
      </c>
      <c r="H9" s="307">
        <v>0</v>
      </c>
      <c r="I9" s="308">
        <v>45.262373007736038</v>
      </c>
      <c r="J9" s="307">
        <v>0</v>
      </c>
      <c r="K9" s="307">
        <v>0</v>
      </c>
      <c r="L9" s="307">
        <v>0</v>
      </c>
      <c r="M9" s="309">
        <v>0</v>
      </c>
      <c r="N9" s="306">
        <v>42.573478816474989</v>
      </c>
      <c r="O9" s="307">
        <v>0</v>
      </c>
      <c r="P9" s="307">
        <v>0</v>
      </c>
      <c r="Q9" s="307">
        <v>0</v>
      </c>
      <c r="R9" s="310">
        <v>0</v>
      </c>
    </row>
    <row r="10" spans="2:39">
      <c r="C10" s="311">
        <v>4</v>
      </c>
      <c r="D10" s="312">
        <v>55.3697087263334</v>
      </c>
      <c r="E10" s="313">
        <v>0</v>
      </c>
      <c r="F10" s="313">
        <v>0</v>
      </c>
      <c r="G10" s="313">
        <v>0</v>
      </c>
      <c r="H10" s="313">
        <v>0</v>
      </c>
      <c r="I10" s="314">
        <v>56.645318576708007</v>
      </c>
      <c r="J10" s="313">
        <v>0</v>
      </c>
      <c r="K10" s="313">
        <v>0</v>
      </c>
      <c r="L10" s="313">
        <v>0</v>
      </c>
      <c r="M10" s="315">
        <v>0</v>
      </c>
      <c r="N10" s="312">
        <v>54.033957370937678</v>
      </c>
      <c r="O10" s="313">
        <v>0</v>
      </c>
      <c r="P10" s="313">
        <v>0</v>
      </c>
      <c r="Q10" s="313">
        <v>0</v>
      </c>
      <c r="R10" s="316">
        <v>0</v>
      </c>
    </row>
    <row r="11" spans="2:39">
      <c r="C11" s="317">
        <v>5</v>
      </c>
      <c r="D11" s="318">
        <v>62.187237533449228</v>
      </c>
      <c r="E11" s="313">
        <v>0</v>
      </c>
      <c r="F11" s="313">
        <v>0</v>
      </c>
      <c r="G11" s="313">
        <v>0</v>
      </c>
      <c r="H11" s="313">
        <v>0</v>
      </c>
      <c r="I11" s="314">
        <v>63.4074215396356</v>
      </c>
      <c r="J11" s="313">
        <v>0</v>
      </c>
      <c r="K11" s="313">
        <v>0</v>
      </c>
      <c r="L11" s="313">
        <v>0</v>
      </c>
      <c r="M11" s="315">
        <v>0</v>
      </c>
      <c r="N11" s="312">
        <v>60.907581184097324</v>
      </c>
      <c r="O11" s="313">
        <v>0</v>
      </c>
      <c r="P11" s="313">
        <v>0</v>
      </c>
      <c r="Q11" s="313">
        <v>0</v>
      </c>
      <c r="R11" s="316">
        <v>0</v>
      </c>
    </row>
    <row r="12" spans="2:39">
      <c r="C12" s="311">
        <v>6</v>
      </c>
      <c r="D12" s="319">
        <v>6.6773454207741532</v>
      </c>
      <c r="E12" s="320">
        <v>93.322654579225855</v>
      </c>
      <c r="F12" s="313">
        <v>0</v>
      </c>
      <c r="G12" s="313">
        <v>0</v>
      </c>
      <c r="H12" s="313">
        <v>0</v>
      </c>
      <c r="I12" s="321">
        <v>7.256067360079248</v>
      </c>
      <c r="J12" s="320">
        <v>92.743932639920757</v>
      </c>
      <c r="K12" s="313">
        <v>0</v>
      </c>
      <c r="L12" s="313">
        <v>0</v>
      </c>
      <c r="M12" s="315">
        <v>0</v>
      </c>
      <c r="N12" s="319">
        <v>6.0601792348187402</v>
      </c>
      <c r="O12" s="320">
        <v>93.939820765181253</v>
      </c>
      <c r="P12" s="313">
        <v>0</v>
      </c>
      <c r="Q12" s="313">
        <v>0</v>
      </c>
      <c r="R12" s="316">
        <v>0</v>
      </c>
    </row>
    <row r="13" spans="2:39">
      <c r="C13" s="311">
        <v>7</v>
      </c>
      <c r="D13" s="322">
        <v>0</v>
      </c>
      <c r="E13" s="320">
        <v>100</v>
      </c>
      <c r="F13" s="313">
        <v>0</v>
      </c>
      <c r="G13" s="313">
        <v>0</v>
      </c>
      <c r="H13" s="313">
        <v>0</v>
      </c>
      <c r="I13" s="323">
        <v>0</v>
      </c>
      <c r="J13" s="320">
        <v>100</v>
      </c>
      <c r="K13" s="313">
        <v>0</v>
      </c>
      <c r="L13" s="313">
        <v>0</v>
      </c>
      <c r="M13" s="315">
        <v>0</v>
      </c>
      <c r="N13" s="322">
        <v>0</v>
      </c>
      <c r="O13" s="320">
        <v>100</v>
      </c>
      <c r="P13" s="313">
        <v>0</v>
      </c>
      <c r="Q13" s="313">
        <v>0</v>
      </c>
      <c r="R13" s="316">
        <v>0</v>
      </c>
    </row>
    <row r="14" spans="2:39">
      <c r="C14" s="311">
        <v>8</v>
      </c>
      <c r="D14" s="322">
        <v>0</v>
      </c>
      <c r="E14" s="320">
        <v>100</v>
      </c>
      <c r="F14" s="313">
        <v>0</v>
      </c>
      <c r="G14" s="313">
        <v>0</v>
      </c>
      <c r="H14" s="313">
        <v>0</v>
      </c>
      <c r="I14" s="323">
        <v>0</v>
      </c>
      <c r="J14" s="320">
        <v>100</v>
      </c>
      <c r="K14" s="313">
        <v>0</v>
      </c>
      <c r="L14" s="313">
        <v>0</v>
      </c>
      <c r="M14" s="315">
        <v>0</v>
      </c>
      <c r="N14" s="322">
        <v>0</v>
      </c>
      <c r="O14" s="320">
        <v>100</v>
      </c>
      <c r="P14" s="313">
        <v>0</v>
      </c>
      <c r="Q14" s="313">
        <v>0</v>
      </c>
      <c r="R14" s="316">
        <v>0</v>
      </c>
    </row>
    <row r="15" spans="2:39">
      <c r="C15" s="317">
        <v>9</v>
      </c>
      <c r="D15" s="324">
        <v>0</v>
      </c>
      <c r="E15" s="320">
        <v>100</v>
      </c>
      <c r="F15" s="313">
        <v>0</v>
      </c>
      <c r="G15" s="313">
        <v>0</v>
      </c>
      <c r="H15" s="313">
        <v>0</v>
      </c>
      <c r="I15" s="323">
        <v>0</v>
      </c>
      <c r="J15" s="320">
        <v>100</v>
      </c>
      <c r="K15" s="313">
        <v>0</v>
      </c>
      <c r="L15" s="313">
        <v>0</v>
      </c>
      <c r="M15" s="315">
        <v>0</v>
      </c>
      <c r="N15" s="322">
        <v>0</v>
      </c>
      <c r="O15" s="320">
        <v>100</v>
      </c>
      <c r="P15" s="313">
        <v>0</v>
      </c>
      <c r="Q15" s="313">
        <v>0</v>
      </c>
      <c r="R15" s="316">
        <v>0</v>
      </c>
    </row>
    <row r="16" spans="2:39">
      <c r="C16" s="325">
        <v>10</v>
      </c>
      <c r="D16" s="324">
        <v>0</v>
      </c>
      <c r="E16" s="319">
        <v>27.580815191628755</v>
      </c>
      <c r="F16" s="312">
        <v>72.419184808371199</v>
      </c>
      <c r="G16" s="322">
        <v>0</v>
      </c>
      <c r="H16" s="322">
        <v>0</v>
      </c>
      <c r="I16" s="323">
        <v>0</v>
      </c>
      <c r="J16" s="319">
        <v>31.219015093092434</v>
      </c>
      <c r="K16" s="312">
        <v>68.780984906907577</v>
      </c>
      <c r="L16" s="322">
        <v>0</v>
      </c>
      <c r="M16" s="326">
        <v>0</v>
      </c>
      <c r="N16" s="322">
        <v>0</v>
      </c>
      <c r="O16" s="319">
        <v>23.736631502364496</v>
      </c>
      <c r="P16" s="312">
        <v>76.263368497635511</v>
      </c>
      <c r="Q16" s="322">
        <v>0</v>
      </c>
      <c r="R16" s="327">
        <v>0</v>
      </c>
    </row>
    <row r="17" spans="3:18">
      <c r="C17" s="317">
        <v>11</v>
      </c>
      <c r="D17" s="324">
        <v>0</v>
      </c>
      <c r="E17" s="319">
        <v>14.22772706123955</v>
      </c>
      <c r="F17" s="312">
        <v>85.772272938760452</v>
      </c>
      <c r="G17" s="322">
        <v>0</v>
      </c>
      <c r="H17" s="322">
        <v>0</v>
      </c>
      <c r="I17" s="323">
        <v>0</v>
      </c>
      <c r="J17" s="319">
        <v>16.992504443242407</v>
      </c>
      <c r="K17" s="312">
        <v>83.00749555675759</v>
      </c>
      <c r="L17" s="322">
        <v>0</v>
      </c>
      <c r="M17" s="326">
        <v>0</v>
      </c>
      <c r="N17" s="322">
        <v>0</v>
      </c>
      <c r="O17" s="319">
        <v>11.229385307346327</v>
      </c>
      <c r="P17" s="312">
        <v>88.642345493919706</v>
      </c>
      <c r="Q17" s="322">
        <v>0</v>
      </c>
      <c r="R17" s="327">
        <v>0</v>
      </c>
    </row>
    <row r="18" spans="3:18">
      <c r="C18" s="325">
        <v>12</v>
      </c>
      <c r="D18" s="324">
        <v>0</v>
      </c>
      <c r="E18" s="319">
        <v>5.9669442096950718</v>
      </c>
      <c r="F18" s="319">
        <v>29.183580166525818</v>
      </c>
      <c r="G18" s="312">
        <v>64.849475623779114</v>
      </c>
      <c r="H18" s="322">
        <v>0</v>
      </c>
      <c r="I18" s="323">
        <v>0</v>
      </c>
      <c r="J18" s="319">
        <v>7.3813398426905348</v>
      </c>
      <c r="K18" s="319">
        <v>32.990235964198533</v>
      </c>
      <c r="L18" s="312">
        <v>59.628424193110931</v>
      </c>
      <c r="M18" s="326">
        <v>0</v>
      </c>
      <c r="N18" s="322">
        <v>0</v>
      </c>
      <c r="O18" s="319">
        <v>4.4901022344311974</v>
      </c>
      <c r="P18" s="319">
        <v>25.208858429384613</v>
      </c>
      <c r="Q18" s="312">
        <v>70.301039336184189</v>
      </c>
      <c r="R18" s="327">
        <v>0</v>
      </c>
    </row>
    <row r="19" spans="3:18">
      <c r="C19" s="311">
        <v>13</v>
      </c>
      <c r="D19" s="324">
        <v>0</v>
      </c>
      <c r="E19" s="319">
        <v>3.4156473574890378</v>
      </c>
      <c r="F19" s="319">
        <v>15.816120470805448</v>
      </c>
      <c r="G19" s="312">
        <v>80.768232171705506</v>
      </c>
      <c r="H19" s="322">
        <v>0</v>
      </c>
      <c r="I19" s="323">
        <v>0</v>
      </c>
      <c r="J19" s="319">
        <v>4.2335417018640538</v>
      </c>
      <c r="K19" s="319">
        <v>19.195246944866813</v>
      </c>
      <c r="L19" s="312">
        <v>76.571211353269135</v>
      </c>
      <c r="M19" s="326">
        <v>0</v>
      </c>
      <c r="N19" s="322">
        <v>0</v>
      </c>
      <c r="O19" s="319">
        <v>2.5566333471343232</v>
      </c>
      <c r="P19" s="319">
        <v>12.267108298337966</v>
      </c>
      <c r="Q19" s="312">
        <v>85.176258354527718</v>
      </c>
      <c r="R19" s="327">
        <v>0</v>
      </c>
    </row>
    <row r="20" spans="3:18">
      <c r="C20" s="317">
        <v>14</v>
      </c>
      <c r="D20" s="324">
        <v>0</v>
      </c>
      <c r="E20" s="319">
        <v>1.9650152482881638</v>
      </c>
      <c r="F20" s="319">
        <v>7.91328614995109</v>
      </c>
      <c r="G20" s="312">
        <v>80.282956441682501</v>
      </c>
      <c r="H20" s="322">
        <v>0</v>
      </c>
      <c r="I20" s="323">
        <v>0</v>
      </c>
      <c r="J20" s="319">
        <v>2.2940121198423573</v>
      </c>
      <c r="K20" s="319">
        <v>10.116819459551085</v>
      </c>
      <c r="L20" s="312">
        <v>78.543076292853812</v>
      </c>
      <c r="M20" s="326">
        <v>0</v>
      </c>
      <c r="N20" s="322">
        <v>0</v>
      </c>
      <c r="O20" s="319">
        <v>1.623704919474201</v>
      </c>
      <c r="P20" s="319">
        <v>5.6272805873474114</v>
      </c>
      <c r="Q20" s="312">
        <v>82.087955567930365</v>
      </c>
      <c r="R20" s="327">
        <v>0</v>
      </c>
    </row>
    <row r="21" spans="3:18">
      <c r="C21" s="325">
        <v>15</v>
      </c>
      <c r="D21" s="324">
        <v>0</v>
      </c>
      <c r="E21" s="319">
        <v>0.24983544832369617</v>
      </c>
      <c r="F21" s="319">
        <v>4.1339627582399698</v>
      </c>
      <c r="G21" s="319">
        <v>42.150000353874574</v>
      </c>
      <c r="H21" s="312">
        <v>44.549269956756525</v>
      </c>
      <c r="I21" s="323">
        <v>0</v>
      </c>
      <c r="J21" s="319">
        <v>0.34188984475977374</v>
      </c>
      <c r="K21" s="319">
        <v>5.2186844189957329</v>
      </c>
      <c r="L21" s="319">
        <v>45.613108556974694</v>
      </c>
      <c r="M21" s="328">
        <v>39.300654593971061</v>
      </c>
      <c r="N21" s="322">
        <v>0</v>
      </c>
      <c r="O21" s="319">
        <v>0.15431208537640612</v>
      </c>
      <c r="P21" s="319">
        <v>3.0083645803288146</v>
      </c>
      <c r="Q21" s="319">
        <v>38.556388808768389</v>
      </c>
      <c r="R21" s="329">
        <v>49.995673492933371</v>
      </c>
    </row>
    <row r="22" spans="3:18">
      <c r="C22" s="311">
        <v>16</v>
      </c>
      <c r="D22" s="324">
        <v>0</v>
      </c>
      <c r="E22" s="319">
        <v>0.2224833311316754</v>
      </c>
      <c r="F22" s="319">
        <v>0.94485889689983393</v>
      </c>
      <c r="G22" s="319">
        <v>23.613824557988195</v>
      </c>
      <c r="H22" s="312">
        <v>53.79855524886846</v>
      </c>
      <c r="I22" s="323">
        <v>0</v>
      </c>
      <c r="J22" s="319">
        <v>0.28031121381592439</v>
      </c>
      <c r="K22" s="319">
        <v>1.1800418415763061</v>
      </c>
      <c r="L22" s="319">
        <v>26.261742305115337</v>
      </c>
      <c r="M22" s="328">
        <v>48.011157753681651</v>
      </c>
      <c r="N22" s="322">
        <v>0</v>
      </c>
      <c r="O22" s="319">
        <v>0.16266372457495262</v>
      </c>
      <c r="P22" s="319">
        <v>0.70157571642762173</v>
      </c>
      <c r="Q22" s="319">
        <v>20.874706498062178</v>
      </c>
      <c r="R22" s="329">
        <v>59.785283883561057</v>
      </c>
    </row>
    <row r="23" spans="3:18">
      <c r="C23" s="317">
        <v>17</v>
      </c>
      <c r="D23" s="324">
        <v>0</v>
      </c>
      <c r="E23" s="319">
        <v>0.21010190924382949</v>
      </c>
      <c r="F23" s="319">
        <v>0.83124431383072728</v>
      </c>
      <c r="G23" s="319">
        <v>13.294672836637583</v>
      </c>
      <c r="H23" s="312">
        <v>58.330442523055567</v>
      </c>
      <c r="I23" s="323">
        <v>0</v>
      </c>
      <c r="J23" s="319">
        <v>0.29523625346483595</v>
      </c>
      <c r="K23" s="319">
        <v>1.0056081995745503</v>
      </c>
      <c r="L23" s="319">
        <v>15.055759685425127</v>
      </c>
      <c r="M23" s="328">
        <v>53.33977953974086</v>
      </c>
      <c r="N23" s="322">
        <v>0</v>
      </c>
      <c r="O23" s="319">
        <v>0.1223111489271185</v>
      </c>
      <c r="P23" s="319">
        <v>0.65143981493791381</v>
      </c>
      <c r="Q23" s="319">
        <v>11.478635433008057</v>
      </c>
      <c r="R23" s="329">
        <v>63.476827355154356</v>
      </c>
    </row>
    <row r="24" spans="3:18">
      <c r="C24" s="330">
        <v>18</v>
      </c>
      <c r="D24" s="322">
        <v>0</v>
      </c>
      <c r="E24" s="319">
        <v>0.20212418710924751</v>
      </c>
      <c r="F24" s="319">
        <v>0.58942425992417202</v>
      </c>
      <c r="G24" s="319">
        <v>6.4108519346172192</v>
      </c>
      <c r="H24" s="319">
        <v>40.279835287618951</v>
      </c>
      <c r="I24" s="323">
        <v>0</v>
      </c>
      <c r="J24" s="319">
        <v>0.27183650269983073</v>
      </c>
      <c r="K24" s="319">
        <v>0.67341315441548977</v>
      </c>
      <c r="L24" s="319">
        <v>6.8712854159716299</v>
      </c>
      <c r="M24" s="331">
        <v>39.03448616722887</v>
      </c>
      <c r="N24" s="322">
        <v>0</v>
      </c>
      <c r="O24" s="319">
        <v>0.1301402197073121</v>
      </c>
      <c r="P24" s="319">
        <v>0.5026984957321663</v>
      </c>
      <c r="Q24" s="319">
        <v>5.9354147262589789</v>
      </c>
      <c r="R24" s="332">
        <v>41.565765466909937</v>
      </c>
    </row>
    <row r="25" spans="3:18">
      <c r="C25" s="333">
        <v>19</v>
      </c>
      <c r="D25" s="322">
        <v>0</v>
      </c>
      <c r="E25" s="319">
        <v>0.17829270850684484</v>
      </c>
      <c r="F25" s="319">
        <v>0.36398857446034066</v>
      </c>
      <c r="G25" s="319">
        <v>4.0415070360842238</v>
      </c>
      <c r="H25" s="319">
        <v>25.658726780305134</v>
      </c>
      <c r="I25" s="323">
        <v>0</v>
      </c>
      <c r="J25" s="319">
        <v>0.24890421437330773</v>
      </c>
      <c r="K25" s="319">
        <v>0.36060756911645075</v>
      </c>
      <c r="L25" s="319">
        <v>3.9496849236896101</v>
      </c>
      <c r="M25" s="331">
        <v>25.331164021806433</v>
      </c>
      <c r="N25" s="322">
        <v>0</v>
      </c>
      <c r="O25" s="319">
        <v>0.10535293232328299</v>
      </c>
      <c r="P25" s="319">
        <v>0.3674810615562133</v>
      </c>
      <c r="Q25" s="319">
        <v>4.1363567952641356</v>
      </c>
      <c r="R25" s="332">
        <v>25.997090252345355</v>
      </c>
    </row>
    <row r="26" spans="3:18" ht="15.75" thickBot="1">
      <c r="C26" s="334">
        <v>20</v>
      </c>
      <c r="D26" s="335">
        <v>0</v>
      </c>
      <c r="E26" s="336">
        <v>0.36994088508514311</v>
      </c>
      <c r="F26" s="336">
        <v>0.278558554016411</v>
      </c>
      <c r="G26" s="336">
        <v>2.5158501077681286</v>
      </c>
      <c r="H26" s="336">
        <v>16.416678220754502</v>
      </c>
      <c r="I26" s="337">
        <v>0</v>
      </c>
      <c r="J26" s="336">
        <v>0.47030351417771737</v>
      </c>
      <c r="K26" s="336">
        <v>0.2806851211935979</v>
      </c>
      <c r="L26" s="336">
        <v>2.5373934955901247</v>
      </c>
      <c r="M26" s="338">
        <v>15.473858859046169</v>
      </c>
      <c r="N26" s="335">
        <v>0</v>
      </c>
      <c r="O26" s="336">
        <v>0.26747162890221998</v>
      </c>
      <c r="P26" s="336">
        <v>0.27638734986562735</v>
      </c>
      <c r="Q26" s="336">
        <v>2.4938545209073659</v>
      </c>
      <c r="R26" s="339">
        <v>17.379287506527582</v>
      </c>
    </row>
    <row r="27" spans="3:18" ht="16.5" thickTop="1">
      <c r="C27" s="1405" t="s">
        <v>605</v>
      </c>
      <c r="D27" s="1406"/>
      <c r="E27" s="1406"/>
      <c r="F27" s="1406"/>
      <c r="G27" s="1406"/>
      <c r="H27" s="1406"/>
      <c r="I27" s="1406"/>
      <c r="J27" s="1406"/>
      <c r="K27" s="1406"/>
      <c r="L27" s="1406"/>
      <c r="M27" s="1406"/>
      <c r="N27" s="1406"/>
      <c r="O27" s="1406"/>
      <c r="P27" s="1406"/>
      <c r="Q27" s="1406"/>
      <c r="R27" s="1407"/>
    </row>
    <row r="28" spans="3:18">
      <c r="C28" s="1408" t="s">
        <v>306</v>
      </c>
      <c r="D28" s="1410" t="s">
        <v>598</v>
      </c>
      <c r="E28" s="1410"/>
      <c r="F28" s="1410"/>
      <c r="G28" s="1410"/>
      <c r="H28" s="1410"/>
      <c r="I28" s="1410" t="s">
        <v>307</v>
      </c>
      <c r="J28" s="1410"/>
      <c r="K28" s="1410"/>
      <c r="L28" s="1410"/>
      <c r="M28" s="1410"/>
      <c r="N28" s="1410" t="s">
        <v>308</v>
      </c>
      <c r="O28" s="1410"/>
      <c r="P28" s="1410"/>
      <c r="Q28" s="1410"/>
      <c r="R28" s="1421"/>
    </row>
    <row r="29" spans="3:18">
      <c r="C29" s="1408"/>
      <c r="D29" s="1413" t="s">
        <v>599</v>
      </c>
      <c r="E29" s="1415" t="s">
        <v>600</v>
      </c>
      <c r="F29" s="1415"/>
      <c r="G29" s="1415"/>
      <c r="H29" s="1416" t="s">
        <v>601</v>
      </c>
      <c r="I29" s="1413" t="s">
        <v>599</v>
      </c>
      <c r="J29" s="1415" t="s">
        <v>600</v>
      </c>
      <c r="K29" s="1415"/>
      <c r="L29" s="1415"/>
      <c r="M29" s="1416" t="s">
        <v>601</v>
      </c>
      <c r="N29" s="1413" t="s">
        <v>599</v>
      </c>
      <c r="O29" s="1415" t="s">
        <v>600</v>
      </c>
      <c r="P29" s="1415"/>
      <c r="Q29" s="1415"/>
      <c r="R29" s="1418" t="s">
        <v>601</v>
      </c>
    </row>
    <row r="30" spans="3:18" ht="15.75" thickBot="1">
      <c r="C30" s="1409"/>
      <c r="D30" s="1414"/>
      <c r="E30" s="304" t="s">
        <v>602</v>
      </c>
      <c r="F30" s="304" t="s">
        <v>603</v>
      </c>
      <c r="G30" s="304" t="s">
        <v>604</v>
      </c>
      <c r="H30" s="1417"/>
      <c r="I30" s="1414"/>
      <c r="J30" s="304" t="s">
        <v>602</v>
      </c>
      <c r="K30" s="304" t="s">
        <v>603</v>
      </c>
      <c r="L30" s="304" t="s">
        <v>604</v>
      </c>
      <c r="M30" s="1417"/>
      <c r="N30" s="1414"/>
      <c r="O30" s="304" t="s">
        <v>602</v>
      </c>
      <c r="P30" s="304" t="s">
        <v>603</v>
      </c>
      <c r="Q30" s="304" t="s">
        <v>604</v>
      </c>
      <c r="R30" s="1419"/>
    </row>
    <row r="31" spans="3:18" ht="15.75" thickTop="1">
      <c r="C31" s="311">
        <v>3</v>
      </c>
      <c r="D31" s="340">
        <v>61.780363525743397</v>
      </c>
      <c r="E31" s="341">
        <v>0</v>
      </c>
      <c r="F31" s="341">
        <v>0</v>
      </c>
      <c r="G31" s="341">
        <v>0</v>
      </c>
      <c r="H31" s="341">
        <v>0</v>
      </c>
      <c r="I31" s="342">
        <v>60.277195691334875</v>
      </c>
      <c r="J31" s="341">
        <v>0</v>
      </c>
      <c r="K31" s="341">
        <v>0</v>
      </c>
      <c r="L31" s="341">
        <v>0</v>
      </c>
      <c r="M31" s="343">
        <v>0</v>
      </c>
      <c r="N31" s="344">
        <v>63.390431187241582</v>
      </c>
      <c r="O31" s="341">
        <v>0</v>
      </c>
      <c r="P31" s="341">
        <v>0</v>
      </c>
      <c r="Q31" s="341">
        <v>0</v>
      </c>
      <c r="R31" s="345">
        <v>0</v>
      </c>
    </row>
    <row r="32" spans="3:18">
      <c r="C32" s="311">
        <v>4</v>
      </c>
      <c r="D32" s="318">
        <v>83.72459399008072</v>
      </c>
      <c r="E32" s="313">
        <v>0</v>
      </c>
      <c r="F32" s="313">
        <v>0</v>
      </c>
      <c r="G32" s="313">
        <v>0</v>
      </c>
      <c r="H32" s="313">
        <v>0</v>
      </c>
      <c r="I32" s="314">
        <v>82.871679987849561</v>
      </c>
      <c r="J32" s="313">
        <v>0</v>
      </c>
      <c r="K32" s="313">
        <v>0</v>
      </c>
      <c r="L32" s="313">
        <v>0</v>
      </c>
      <c r="M32" s="315">
        <v>0</v>
      </c>
      <c r="N32" s="312">
        <v>84.620292282233791</v>
      </c>
      <c r="O32" s="313">
        <v>0</v>
      </c>
      <c r="P32" s="313">
        <v>0</v>
      </c>
      <c r="Q32" s="313">
        <v>0</v>
      </c>
      <c r="R32" s="316">
        <v>0</v>
      </c>
    </row>
    <row r="33" spans="3:18">
      <c r="C33" s="317">
        <v>5</v>
      </c>
      <c r="D33" s="318">
        <v>86.086000720147055</v>
      </c>
      <c r="E33" s="346">
        <v>2.8322625883601495</v>
      </c>
      <c r="F33" s="313">
        <v>0</v>
      </c>
      <c r="G33" s="313">
        <v>0</v>
      </c>
      <c r="H33" s="313">
        <v>0</v>
      </c>
      <c r="I33" s="314">
        <v>85.794579754771931</v>
      </c>
      <c r="J33" s="346">
        <v>2.6526183012113007</v>
      </c>
      <c r="K33" s="313">
        <v>0</v>
      </c>
      <c r="L33" s="313">
        <v>0</v>
      </c>
      <c r="M33" s="315">
        <v>0</v>
      </c>
      <c r="N33" s="312">
        <v>86.390314769975788</v>
      </c>
      <c r="O33" s="346">
        <v>3.0198547215496365</v>
      </c>
      <c r="P33" s="313">
        <v>0</v>
      </c>
      <c r="Q33" s="313">
        <v>0</v>
      </c>
      <c r="R33" s="316">
        <v>0</v>
      </c>
    </row>
    <row r="34" spans="3:18">
      <c r="C34" s="311">
        <v>6</v>
      </c>
      <c r="D34" s="347">
        <v>1.8962722852512155</v>
      </c>
      <c r="E34" s="320">
        <v>98.103727714748786</v>
      </c>
      <c r="F34" s="313">
        <v>0</v>
      </c>
      <c r="G34" s="313">
        <v>0</v>
      </c>
      <c r="H34" s="313">
        <v>0</v>
      </c>
      <c r="I34" s="321">
        <v>2.1021076934534895</v>
      </c>
      <c r="J34" s="320">
        <v>97.89789230654651</v>
      </c>
      <c r="K34" s="313">
        <v>0</v>
      </c>
      <c r="L34" s="313">
        <v>0</v>
      </c>
      <c r="M34" s="315">
        <v>0</v>
      </c>
      <c r="N34" s="319">
        <v>1.6802782228127076</v>
      </c>
      <c r="O34" s="320">
        <v>98.319721777187297</v>
      </c>
      <c r="P34" s="313">
        <v>0</v>
      </c>
      <c r="Q34" s="313">
        <v>0</v>
      </c>
      <c r="R34" s="316">
        <v>0</v>
      </c>
    </row>
    <row r="35" spans="3:18">
      <c r="C35" s="311">
        <v>7</v>
      </c>
      <c r="D35" s="324">
        <v>0</v>
      </c>
      <c r="E35" s="320">
        <v>100</v>
      </c>
      <c r="F35" s="313">
        <v>0</v>
      </c>
      <c r="G35" s="313">
        <v>0</v>
      </c>
      <c r="H35" s="313">
        <v>0</v>
      </c>
      <c r="I35" s="323">
        <v>0</v>
      </c>
      <c r="J35" s="320">
        <v>100</v>
      </c>
      <c r="K35" s="313">
        <v>0</v>
      </c>
      <c r="L35" s="313">
        <v>0</v>
      </c>
      <c r="M35" s="315">
        <v>0</v>
      </c>
      <c r="N35" s="322">
        <v>0</v>
      </c>
      <c r="O35" s="320">
        <v>100</v>
      </c>
      <c r="P35" s="313">
        <v>0</v>
      </c>
      <c r="Q35" s="313">
        <v>0</v>
      </c>
      <c r="R35" s="316">
        <v>0</v>
      </c>
    </row>
    <row r="36" spans="3:18">
      <c r="C36" s="311">
        <v>8</v>
      </c>
      <c r="D36" s="324">
        <v>0</v>
      </c>
      <c r="E36" s="320">
        <v>100</v>
      </c>
      <c r="F36" s="313">
        <v>0</v>
      </c>
      <c r="G36" s="313">
        <v>0</v>
      </c>
      <c r="H36" s="313">
        <v>0</v>
      </c>
      <c r="I36" s="323">
        <v>0</v>
      </c>
      <c r="J36" s="320">
        <v>100</v>
      </c>
      <c r="K36" s="313">
        <v>0</v>
      </c>
      <c r="L36" s="313">
        <v>0</v>
      </c>
      <c r="M36" s="315">
        <v>0</v>
      </c>
      <c r="N36" s="322">
        <v>0</v>
      </c>
      <c r="O36" s="320">
        <v>100</v>
      </c>
      <c r="P36" s="313">
        <v>0</v>
      </c>
      <c r="Q36" s="313">
        <v>0</v>
      </c>
      <c r="R36" s="316">
        <v>0</v>
      </c>
    </row>
    <row r="37" spans="3:18">
      <c r="C37" s="317">
        <v>9</v>
      </c>
      <c r="D37" s="324">
        <v>0</v>
      </c>
      <c r="E37" s="320">
        <v>91.10910811663436</v>
      </c>
      <c r="F37" s="346">
        <v>8.8908918833656312</v>
      </c>
      <c r="G37" s="313">
        <v>0</v>
      </c>
      <c r="H37" s="313">
        <v>0</v>
      </c>
      <c r="I37" s="323">
        <v>0</v>
      </c>
      <c r="J37" s="320">
        <v>91.649583880858515</v>
      </c>
      <c r="K37" s="346">
        <v>8.3504161191414816</v>
      </c>
      <c r="L37" s="313">
        <v>0</v>
      </c>
      <c r="M37" s="315">
        <v>0</v>
      </c>
      <c r="N37" s="322">
        <v>0</v>
      </c>
      <c r="O37" s="320">
        <v>90.536476703174301</v>
      </c>
      <c r="P37" s="346">
        <v>9.4635232968256915</v>
      </c>
      <c r="Q37" s="313">
        <v>0</v>
      </c>
      <c r="R37" s="316">
        <v>0</v>
      </c>
    </row>
    <row r="38" spans="3:18">
      <c r="C38" s="325">
        <v>10</v>
      </c>
      <c r="D38" s="324">
        <v>0</v>
      </c>
      <c r="E38" s="319">
        <v>26.115684575389945</v>
      </c>
      <c r="F38" s="312">
        <v>73.884315424610051</v>
      </c>
      <c r="G38" s="322">
        <v>0</v>
      </c>
      <c r="H38" s="322">
        <v>0</v>
      </c>
      <c r="I38" s="323">
        <v>0</v>
      </c>
      <c r="J38" s="319">
        <v>28.720107136024488</v>
      </c>
      <c r="K38" s="312">
        <v>71.279892863975519</v>
      </c>
      <c r="L38" s="322">
        <v>0</v>
      </c>
      <c r="M38" s="326">
        <v>0</v>
      </c>
      <c r="N38" s="322">
        <v>0</v>
      </c>
      <c r="O38" s="319">
        <v>23.353354165821191</v>
      </c>
      <c r="P38" s="312">
        <v>76.646645834178813</v>
      </c>
      <c r="Q38" s="322">
        <v>0</v>
      </c>
      <c r="R38" s="327">
        <v>0</v>
      </c>
    </row>
    <row r="39" spans="3:18">
      <c r="C39" s="317">
        <v>11</v>
      </c>
      <c r="D39" s="324">
        <v>0</v>
      </c>
      <c r="E39" s="319">
        <v>8.7189774640888551</v>
      </c>
      <c r="F39" s="312">
        <v>83.333179965216104</v>
      </c>
      <c r="G39" s="319">
        <v>7.947842570695034</v>
      </c>
      <c r="H39" s="322">
        <v>0</v>
      </c>
      <c r="I39" s="323">
        <v>0</v>
      </c>
      <c r="J39" s="319">
        <v>10.363590501243198</v>
      </c>
      <c r="K39" s="312">
        <v>82.568195740694023</v>
      </c>
      <c r="L39" s="319">
        <v>7.0682137580627717</v>
      </c>
      <c r="M39" s="326">
        <v>0</v>
      </c>
      <c r="N39" s="322">
        <v>0</v>
      </c>
      <c r="O39" s="319">
        <v>7.0022005303842461</v>
      </c>
      <c r="P39" s="312">
        <v>84.131730895822756</v>
      </c>
      <c r="Q39" s="319">
        <v>8.8660685737929992</v>
      </c>
      <c r="R39" s="327">
        <v>0</v>
      </c>
    </row>
    <row r="40" spans="3:18">
      <c r="C40" s="325">
        <v>12</v>
      </c>
      <c r="D40" s="324">
        <v>0</v>
      </c>
      <c r="E40" s="319">
        <v>2.8273556067519476</v>
      </c>
      <c r="F40" s="319">
        <v>33.869999013921628</v>
      </c>
      <c r="G40" s="312">
        <v>63.302645379326414</v>
      </c>
      <c r="H40" s="322">
        <v>0</v>
      </c>
      <c r="I40" s="323">
        <v>0</v>
      </c>
      <c r="J40" s="319">
        <v>3.4107108287428947</v>
      </c>
      <c r="K40" s="319">
        <v>38.123229087837245</v>
      </c>
      <c r="L40" s="312">
        <v>58.466060083419855</v>
      </c>
      <c r="M40" s="326">
        <v>0</v>
      </c>
      <c r="N40" s="322">
        <v>0</v>
      </c>
      <c r="O40" s="319">
        <v>2.2217349996345828</v>
      </c>
      <c r="P40" s="319">
        <v>29.454432507491045</v>
      </c>
      <c r="Q40" s="312">
        <v>68.323832492874374</v>
      </c>
      <c r="R40" s="327">
        <v>0</v>
      </c>
    </row>
    <row r="41" spans="3:18">
      <c r="C41" s="311">
        <v>13</v>
      </c>
      <c r="D41" s="324">
        <v>0</v>
      </c>
      <c r="E41" s="319">
        <v>0.96609793928650567</v>
      </c>
      <c r="F41" s="319">
        <v>16.157766452470639</v>
      </c>
      <c r="G41" s="312">
        <v>82.876135608242848</v>
      </c>
      <c r="H41" s="322">
        <v>0</v>
      </c>
      <c r="I41" s="323">
        <v>0</v>
      </c>
      <c r="J41" s="319">
        <v>1.0554728864588021</v>
      </c>
      <c r="K41" s="319">
        <v>20.02630030799045</v>
      </c>
      <c r="L41" s="312">
        <v>78.918226805550745</v>
      </c>
      <c r="M41" s="326">
        <v>0</v>
      </c>
      <c r="N41" s="322">
        <v>0</v>
      </c>
      <c r="O41" s="319">
        <v>0.87223564899783756</v>
      </c>
      <c r="P41" s="319">
        <v>12.095000999436682</v>
      </c>
      <c r="Q41" s="312">
        <v>87.032763351565478</v>
      </c>
      <c r="R41" s="327">
        <v>0</v>
      </c>
    </row>
    <row r="42" spans="3:18">
      <c r="C42" s="317">
        <v>14</v>
      </c>
      <c r="D42" s="324">
        <v>0</v>
      </c>
      <c r="E42" s="319">
        <v>0.50597810429271095</v>
      </c>
      <c r="F42" s="319">
        <v>8.3765485450878714</v>
      </c>
      <c r="G42" s="312">
        <v>85.174481417458949</v>
      </c>
      <c r="H42" s="319">
        <v>5.9429919331604726</v>
      </c>
      <c r="I42" s="323">
        <v>0</v>
      </c>
      <c r="J42" s="319">
        <v>0.57157978301137868</v>
      </c>
      <c r="K42" s="319">
        <v>11.267531092881715</v>
      </c>
      <c r="L42" s="312">
        <v>82.988444914880475</v>
      </c>
      <c r="M42" s="331">
        <v>5.1724442092264269</v>
      </c>
      <c r="N42" s="322">
        <v>0</v>
      </c>
      <c r="O42" s="319">
        <v>0.43760457462261204</v>
      </c>
      <c r="P42" s="319">
        <v>5.3634140511519295</v>
      </c>
      <c r="Q42" s="312">
        <v>87.45288396124073</v>
      </c>
      <c r="R42" s="332">
        <v>6.7460974129847209</v>
      </c>
    </row>
    <row r="43" spans="3:18">
      <c r="C43" s="325">
        <v>15</v>
      </c>
      <c r="D43" s="324">
        <v>0</v>
      </c>
      <c r="E43" s="319">
        <v>0.23429140685532965</v>
      </c>
      <c r="F43" s="319">
        <v>3.4027598420839023</v>
      </c>
      <c r="G43" s="319">
        <v>41.987049404125003</v>
      </c>
      <c r="H43" s="312">
        <v>46.10836438770616</v>
      </c>
      <c r="I43" s="323">
        <v>0</v>
      </c>
      <c r="J43" s="319">
        <v>0.22947798276204759</v>
      </c>
      <c r="K43" s="319">
        <v>4.6708707514952206</v>
      </c>
      <c r="L43" s="319">
        <v>46.44670509368845</v>
      </c>
      <c r="M43" s="328">
        <v>39.882189256093817</v>
      </c>
      <c r="N43" s="322">
        <v>0</v>
      </c>
      <c r="O43" s="319">
        <v>0.23931108556784564</v>
      </c>
      <c r="P43" s="319">
        <v>2.0803105391094614</v>
      </c>
      <c r="Q43" s="319">
        <v>37.336298027096795</v>
      </c>
      <c r="R43" s="329">
        <v>52.601330343515052</v>
      </c>
    </row>
    <row r="44" spans="3:18">
      <c r="C44" s="311">
        <v>16</v>
      </c>
      <c r="D44" s="324">
        <v>0</v>
      </c>
      <c r="E44" s="319">
        <v>0.1682506479923605</v>
      </c>
      <c r="F44" s="319">
        <v>1.0413350916283934</v>
      </c>
      <c r="G44" s="319">
        <v>19.371561093174481</v>
      </c>
      <c r="H44" s="312">
        <v>60.385612295939254</v>
      </c>
      <c r="I44" s="323">
        <v>0</v>
      </c>
      <c r="J44" s="319">
        <v>0.21018132592355099</v>
      </c>
      <c r="K44" s="319">
        <v>1.3946777813401732</v>
      </c>
      <c r="L44" s="319">
        <v>22.640803676392007</v>
      </c>
      <c r="M44" s="328">
        <v>53.252466958783081</v>
      </c>
      <c r="N44" s="322">
        <v>0</v>
      </c>
      <c r="O44" s="319">
        <v>0.1245052310779923</v>
      </c>
      <c r="P44" s="319">
        <v>0.67269990522736145</v>
      </c>
      <c r="Q44" s="319">
        <v>15.960827309386207</v>
      </c>
      <c r="R44" s="329">
        <v>67.827476632040586</v>
      </c>
    </row>
    <row r="45" spans="3:18">
      <c r="C45" s="317">
        <v>17</v>
      </c>
      <c r="D45" s="324">
        <v>0</v>
      </c>
      <c r="E45" s="319">
        <v>0.16988514679703243</v>
      </c>
      <c r="F45" s="319">
        <v>0.45905135411113018</v>
      </c>
      <c r="G45" s="319">
        <v>7.8833937269005911</v>
      </c>
      <c r="H45" s="312">
        <v>67.89441818855444</v>
      </c>
      <c r="I45" s="323">
        <v>0</v>
      </c>
      <c r="J45" s="319">
        <v>0.21366389433349225</v>
      </c>
      <c r="K45" s="319">
        <v>0.61803605798944039</v>
      </c>
      <c r="L45" s="319">
        <v>9.3835531775882473</v>
      </c>
      <c r="M45" s="328">
        <v>61.275626423690213</v>
      </c>
      <c r="N45" s="322">
        <v>0</v>
      </c>
      <c r="O45" s="319">
        <v>0.12400059224163459</v>
      </c>
      <c r="P45" s="319">
        <v>0.29241930707728753</v>
      </c>
      <c r="Q45" s="319">
        <v>6.3110749185667752</v>
      </c>
      <c r="R45" s="329">
        <v>74.831581285164347</v>
      </c>
    </row>
    <row r="46" spans="3:18">
      <c r="C46" s="330">
        <v>18</v>
      </c>
      <c r="D46" s="324">
        <v>0</v>
      </c>
      <c r="E46" s="319">
        <v>0.15237265999129299</v>
      </c>
      <c r="F46" s="319">
        <v>0.24902046147148457</v>
      </c>
      <c r="G46" s="319">
        <v>2.7453199825859818</v>
      </c>
      <c r="H46" s="319">
        <v>43.877231171092731</v>
      </c>
      <c r="I46" s="323">
        <v>0</v>
      </c>
      <c r="J46" s="319">
        <v>0.18142297225597753</v>
      </c>
      <c r="K46" s="319">
        <v>0.33374980745203414</v>
      </c>
      <c r="L46" s="319">
        <v>3.144094339945573</v>
      </c>
      <c r="M46" s="331">
        <v>42.134629537713728</v>
      </c>
      <c r="N46" s="322">
        <v>0</v>
      </c>
      <c r="O46" s="319">
        <v>0.12229055527001401</v>
      </c>
      <c r="P46" s="319">
        <v>0.16128174680538079</v>
      </c>
      <c r="Q46" s="319">
        <v>2.3323821845701223</v>
      </c>
      <c r="R46" s="332">
        <v>45.681725537458128</v>
      </c>
    </row>
    <row r="47" spans="3:18">
      <c r="C47" s="333">
        <v>19</v>
      </c>
      <c r="D47" s="324">
        <v>0</v>
      </c>
      <c r="E47" s="319">
        <v>0.12651181620363341</v>
      </c>
      <c r="F47" s="319">
        <v>0.13157228885177877</v>
      </c>
      <c r="G47" s="319">
        <v>1.2271646171752442</v>
      </c>
      <c r="H47" s="319">
        <v>25.912993606936219</v>
      </c>
      <c r="I47" s="323">
        <v>0</v>
      </c>
      <c r="J47" s="319">
        <v>0.15528463342914725</v>
      </c>
      <c r="K47" s="319">
        <v>0.18832391713747645</v>
      </c>
      <c r="L47" s="319">
        <v>1.4025175934185747</v>
      </c>
      <c r="M47" s="331">
        <v>25.75577361482803</v>
      </c>
      <c r="N47" s="322">
        <v>0</v>
      </c>
      <c r="O47" s="319">
        <v>9.6498483595257784E-2</v>
      </c>
      <c r="P47" s="319">
        <v>7.2373862696443345E-2</v>
      </c>
      <c r="Q47" s="319">
        <v>1.044251447477254</v>
      </c>
      <c r="R47" s="332">
        <v>26.076992004411359</v>
      </c>
    </row>
    <row r="48" spans="3:18" ht="15.75" thickBot="1">
      <c r="C48" s="334">
        <v>20</v>
      </c>
      <c r="D48" s="348">
        <v>0</v>
      </c>
      <c r="E48" s="336">
        <v>0.15128474454042359</v>
      </c>
      <c r="F48" s="336">
        <v>0.11757881700032921</v>
      </c>
      <c r="G48" s="336">
        <v>0.76739774562214869</v>
      </c>
      <c r="H48" s="336">
        <v>14.55390596830075</v>
      </c>
      <c r="I48" s="337">
        <v>0</v>
      </c>
      <c r="J48" s="336">
        <v>0.18722281049061584</v>
      </c>
      <c r="K48" s="336">
        <v>0.14425364086981876</v>
      </c>
      <c r="L48" s="336">
        <v>0.86398723201816985</v>
      </c>
      <c r="M48" s="338">
        <v>14.868867301996533</v>
      </c>
      <c r="N48" s="335">
        <v>0</v>
      </c>
      <c r="O48" s="336">
        <v>0.11376199708384739</v>
      </c>
      <c r="P48" s="336">
        <v>8.9727772347823295E-2</v>
      </c>
      <c r="Q48" s="336">
        <v>0.66654916601240166</v>
      </c>
      <c r="R48" s="339">
        <v>14.22505648042813</v>
      </c>
    </row>
    <row r="49" spans="3:18" ht="16.5" thickTop="1">
      <c r="C49" s="1405" t="s">
        <v>606</v>
      </c>
      <c r="D49" s="1406"/>
      <c r="E49" s="1406"/>
      <c r="F49" s="1406"/>
      <c r="G49" s="1406"/>
      <c r="H49" s="1406"/>
      <c r="I49" s="1406"/>
      <c r="J49" s="1406"/>
      <c r="K49" s="1406"/>
      <c r="L49" s="1406"/>
      <c r="M49" s="1406"/>
      <c r="N49" s="1406"/>
      <c r="O49" s="1406"/>
      <c r="P49" s="1406"/>
      <c r="Q49" s="1406"/>
      <c r="R49" s="1407"/>
    </row>
    <row r="50" spans="3:18">
      <c r="C50" s="1408" t="s">
        <v>306</v>
      </c>
      <c r="D50" s="1410" t="s">
        <v>598</v>
      </c>
      <c r="E50" s="1410"/>
      <c r="F50" s="1410"/>
      <c r="G50" s="1410"/>
      <c r="H50" s="1410"/>
      <c r="I50" s="1411" t="s">
        <v>307</v>
      </c>
      <c r="J50" s="1411"/>
      <c r="K50" s="1411"/>
      <c r="L50" s="1411"/>
      <c r="M50" s="1411"/>
      <c r="N50" s="1411" t="s">
        <v>308</v>
      </c>
      <c r="O50" s="1411"/>
      <c r="P50" s="1411"/>
      <c r="Q50" s="1411"/>
      <c r="R50" s="1412"/>
    </row>
    <row r="51" spans="3:18">
      <c r="C51" s="1408"/>
      <c r="D51" s="1413" t="s">
        <v>599</v>
      </c>
      <c r="E51" s="1415" t="s">
        <v>600</v>
      </c>
      <c r="F51" s="1415"/>
      <c r="G51" s="1415"/>
      <c r="H51" s="1416" t="s">
        <v>601</v>
      </c>
      <c r="I51" s="1413" t="s">
        <v>599</v>
      </c>
      <c r="J51" s="1415" t="s">
        <v>600</v>
      </c>
      <c r="K51" s="1415"/>
      <c r="L51" s="1415"/>
      <c r="M51" s="1416" t="s">
        <v>601</v>
      </c>
      <c r="N51" s="1413" t="s">
        <v>599</v>
      </c>
      <c r="O51" s="1415" t="s">
        <v>600</v>
      </c>
      <c r="P51" s="1415"/>
      <c r="Q51" s="1415"/>
      <c r="R51" s="1418" t="s">
        <v>601</v>
      </c>
    </row>
    <row r="52" spans="3:18" ht="15.75" thickBot="1">
      <c r="C52" s="1409"/>
      <c r="D52" s="1414"/>
      <c r="E52" s="304" t="s">
        <v>602</v>
      </c>
      <c r="F52" s="304" t="s">
        <v>603</v>
      </c>
      <c r="G52" s="304" t="s">
        <v>604</v>
      </c>
      <c r="H52" s="1417"/>
      <c r="I52" s="1414"/>
      <c r="J52" s="304" t="s">
        <v>602</v>
      </c>
      <c r="K52" s="304" t="s">
        <v>603</v>
      </c>
      <c r="L52" s="304" t="s">
        <v>604</v>
      </c>
      <c r="M52" s="1417"/>
      <c r="N52" s="1414"/>
      <c r="O52" s="304" t="s">
        <v>602</v>
      </c>
      <c r="P52" s="304" t="s">
        <v>603</v>
      </c>
      <c r="Q52" s="304" t="s">
        <v>604</v>
      </c>
      <c r="R52" s="1419"/>
    </row>
    <row r="53" spans="3:18" ht="15.75" thickTop="1">
      <c r="C53" s="311">
        <v>3</v>
      </c>
      <c r="D53" s="340">
        <v>63.095296077304475</v>
      </c>
      <c r="E53" s="341">
        <v>0</v>
      </c>
      <c r="F53" s="341">
        <v>0</v>
      </c>
      <c r="G53" s="341">
        <v>0</v>
      </c>
      <c r="H53" s="341">
        <v>0</v>
      </c>
      <c r="I53" s="308">
        <v>62.487889207621727</v>
      </c>
      <c r="J53" s="307">
        <v>0</v>
      </c>
      <c r="K53" s="307">
        <v>0</v>
      </c>
      <c r="L53" s="307">
        <v>0</v>
      </c>
      <c r="M53" s="309">
        <v>0</v>
      </c>
      <c r="N53" s="306">
        <v>63.734506197520993</v>
      </c>
      <c r="O53" s="307">
        <v>0</v>
      </c>
      <c r="P53" s="307">
        <v>0</v>
      </c>
      <c r="Q53" s="307">
        <v>0</v>
      </c>
      <c r="R53" s="309">
        <v>0</v>
      </c>
    </row>
    <row r="54" spans="3:18">
      <c r="C54" s="311">
        <v>4</v>
      </c>
      <c r="D54" s="318">
        <v>81.138715766906671</v>
      </c>
      <c r="E54" s="313">
        <v>0</v>
      </c>
      <c r="F54" s="313">
        <v>0</v>
      </c>
      <c r="G54" s="313">
        <v>0</v>
      </c>
      <c r="H54" s="313">
        <v>0</v>
      </c>
      <c r="I54" s="314">
        <v>80.51855113949135</v>
      </c>
      <c r="J54" s="313">
        <v>0</v>
      </c>
      <c r="K54" s="313">
        <v>0</v>
      </c>
      <c r="L54" s="313">
        <v>0</v>
      </c>
      <c r="M54" s="315">
        <v>0</v>
      </c>
      <c r="N54" s="312">
        <v>81.802470590545767</v>
      </c>
      <c r="O54" s="313">
        <v>0</v>
      </c>
      <c r="P54" s="313">
        <v>0</v>
      </c>
      <c r="Q54" s="313">
        <v>0</v>
      </c>
      <c r="R54" s="315">
        <v>0</v>
      </c>
    </row>
    <row r="55" spans="3:18">
      <c r="C55" s="317">
        <v>5</v>
      </c>
      <c r="D55" s="318">
        <v>91.584634189581323</v>
      </c>
      <c r="E55" s="346">
        <v>0.59623225999085594</v>
      </c>
      <c r="F55" s="313">
        <v>0</v>
      </c>
      <c r="G55" s="313">
        <v>0</v>
      </c>
      <c r="H55" s="313">
        <v>0</v>
      </c>
      <c r="I55" s="314">
        <v>91.829782632205038</v>
      </c>
      <c r="J55" s="346">
        <v>0.4740276125590282</v>
      </c>
      <c r="K55" s="313">
        <v>0</v>
      </c>
      <c r="L55" s="313">
        <v>0</v>
      </c>
      <c r="M55" s="315">
        <v>0</v>
      </c>
      <c r="N55" s="312">
        <v>91.321506645257401</v>
      </c>
      <c r="O55" s="346">
        <v>0.72739935385270171</v>
      </c>
      <c r="P55" s="313">
        <v>0</v>
      </c>
      <c r="Q55" s="313">
        <v>0</v>
      </c>
      <c r="R55" s="315">
        <v>0</v>
      </c>
    </row>
    <row r="56" spans="3:18">
      <c r="C56" s="311">
        <v>6</v>
      </c>
      <c r="D56" s="347">
        <v>2.0099198071663653</v>
      </c>
      <c r="E56" s="320">
        <v>97.990080192833645</v>
      </c>
      <c r="F56" s="313">
        <v>0</v>
      </c>
      <c r="G56" s="313">
        <v>0</v>
      </c>
      <c r="H56" s="313">
        <v>0</v>
      </c>
      <c r="I56" s="321">
        <v>2.9300616947603397</v>
      </c>
      <c r="J56" s="320">
        <v>97.06993830523966</v>
      </c>
      <c r="K56" s="313">
        <v>0</v>
      </c>
      <c r="L56" s="313">
        <v>0</v>
      </c>
      <c r="M56" s="315">
        <v>0</v>
      </c>
      <c r="N56" s="319">
        <v>0.98289256846896333</v>
      </c>
      <c r="O56" s="320">
        <v>99.017107431531031</v>
      </c>
      <c r="P56" s="313">
        <v>0</v>
      </c>
      <c r="Q56" s="313">
        <v>0</v>
      </c>
      <c r="R56" s="315">
        <v>0</v>
      </c>
    </row>
    <row r="57" spans="3:18">
      <c r="C57" s="311">
        <v>7</v>
      </c>
      <c r="D57" s="324">
        <v>0</v>
      </c>
      <c r="E57" s="320">
        <v>100</v>
      </c>
      <c r="F57" s="313">
        <v>0</v>
      </c>
      <c r="G57" s="313">
        <v>0</v>
      </c>
      <c r="H57" s="313">
        <v>0</v>
      </c>
      <c r="I57" s="323">
        <v>0</v>
      </c>
      <c r="J57" s="320">
        <v>100</v>
      </c>
      <c r="K57" s="313">
        <v>0</v>
      </c>
      <c r="L57" s="313">
        <v>0</v>
      </c>
      <c r="M57" s="315">
        <v>0</v>
      </c>
      <c r="N57" s="322">
        <v>0</v>
      </c>
      <c r="O57" s="320">
        <v>100</v>
      </c>
      <c r="P57" s="313">
        <v>0</v>
      </c>
      <c r="Q57" s="313">
        <v>0</v>
      </c>
      <c r="R57" s="315">
        <v>0</v>
      </c>
    </row>
    <row r="58" spans="3:18">
      <c r="C58" s="311">
        <v>8</v>
      </c>
      <c r="D58" s="324">
        <v>0</v>
      </c>
      <c r="E58" s="320">
        <v>100</v>
      </c>
      <c r="F58" s="313">
        <v>0</v>
      </c>
      <c r="G58" s="313">
        <v>0</v>
      </c>
      <c r="H58" s="313">
        <v>0</v>
      </c>
      <c r="I58" s="323">
        <v>0</v>
      </c>
      <c r="J58" s="320">
        <v>100</v>
      </c>
      <c r="K58" s="313">
        <v>0</v>
      </c>
      <c r="L58" s="313">
        <v>0</v>
      </c>
      <c r="M58" s="315">
        <v>0</v>
      </c>
      <c r="N58" s="322">
        <v>0</v>
      </c>
      <c r="O58" s="320">
        <v>100</v>
      </c>
      <c r="P58" s="313">
        <v>0</v>
      </c>
      <c r="Q58" s="313">
        <v>0</v>
      </c>
      <c r="R58" s="315">
        <v>0</v>
      </c>
    </row>
    <row r="59" spans="3:18">
      <c r="C59" s="317">
        <v>9</v>
      </c>
      <c r="D59" s="324">
        <v>0</v>
      </c>
      <c r="E59" s="320">
        <v>99.153523767508545</v>
      </c>
      <c r="F59" s="346">
        <v>0.84647623249145243</v>
      </c>
      <c r="G59" s="313">
        <v>0</v>
      </c>
      <c r="H59" s="313">
        <v>0</v>
      </c>
      <c r="I59" s="323">
        <v>0</v>
      </c>
      <c r="J59" s="320">
        <v>99.233968434522964</v>
      </c>
      <c r="K59" s="346">
        <v>0.76603156547703677</v>
      </c>
      <c r="L59" s="313">
        <v>0</v>
      </c>
      <c r="M59" s="315">
        <v>0</v>
      </c>
      <c r="N59" s="322">
        <v>0</v>
      </c>
      <c r="O59" s="320">
        <v>99.067377236391323</v>
      </c>
      <c r="P59" s="346">
        <v>0.93262276360867902</v>
      </c>
      <c r="Q59" s="313">
        <v>0</v>
      </c>
      <c r="R59" s="315">
        <v>0</v>
      </c>
    </row>
    <row r="60" spans="3:18">
      <c r="C60" s="325">
        <v>10</v>
      </c>
      <c r="D60" s="324">
        <v>0</v>
      </c>
      <c r="E60" s="319">
        <v>20.994560994560995</v>
      </c>
      <c r="F60" s="312">
        <v>79.005439005439001</v>
      </c>
      <c r="G60" s="322">
        <v>0</v>
      </c>
      <c r="H60" s="322">
        <v>0</v>
      </c>
      <c r="I60" s="323">
        <v>0</v>
      </c>
      <c r="J60" s="319">
        <v>23.845142491649494</v>
      </c>
      <c r="K60" s="312">
        <v>76.154857508350503</v>
      </c>
      <c r="L60" s="322">
        <v>0</v>
      </c>
      <c r="M60" s="326">
        <v>0</v>
      </c>
      <c r="N60" s="322">
        <v>0</v>
      </c>
      <c r="O60" s="319">
        <v>17.973677769200354</v>
      </c>
      <c r="P60" s="312">
        <v>82.026322230799636</v>
      </c>
      <c r="Q60" s="322">
        <v>0</v>
      </c>
      <c r="R60" s="326">
        <v>0</v>
      </c>
    </row>
    <row r="61" spans="3:18">
      <c r="C61" s="317">
        <v>11</v>
      </c>
      <c r="D61" s="324">
        <v>0</v>
      </c>
      <c r="E61" s="319">
        <v>6.1984051873576895</v>
      </c>
      <c r="F61" s="312">
        <v>92.828028223123852</v>
      </c>
      <c r="G61" s="319">
        <v>0.97356658951846409</v>
      </c>
      <c r="H61" s="322">
        <v>0</v>
      </c>
      <c r="I61" s="323">
        <v>0</v>
      </c>
      <c r="J61" s="319">
        <v>7.3098087645061112</v>
      </c>
      <c r="K61" s="312">
        <v>91.800301472858365</v>
      </c>
      <c r="L61" s="319">
        <v>0.88988976263552655</v>
      </c>
      <c r="M61" s="326">
        <v>0</v>
      </c>
      <c r="N61" s="322">
        <v>0</v>
      </c>
      <c r="O61" s="319">
        <v>5.0137442409694533</v>
      </c>
      <c r="P61" s="312">
        <v>93.923496844631998</v>
      </c>
      <c r="Q61" s="319">
        <v>1.0627589143985443</v>
      </c>
      <c r="R61" s="326">
        <v>0</v>
      </c>
    </row>
    <row r="62" spans="3:18">
      <c r="C62" s="325">
        <v>12</v>
      </c>
      <c r="D62" s="324">
        <v>0</v>
      </c>
      <c r="E62" s="319">
        <v>1.997929209648349</v>
      </c>
      <c r="F62" s="319">
        <v>27.983472025156271</v>
      </c>
      <c r="G62" s="312">
        <v>70.018598765195378</v>
      </c>
      <c r="H62" s="322">
        <v>0</v>
      </c>
      <c r="I62" s="323">
        <v>0</v>
      </c>
      <c r="J62" s="319">
        <v>2.2742910274291028</v>
      </c>
      <c r="K62" s="319">
        <v>32.596931659693169</v>
      </c>
      <c r="L62" s="312">
        <v>65.12877731287773</v>
      </c>
      <c r="M62" s="326">
        <v>0</v>
      </c>
      <c r="N62" s="322">
        <v>0</v>
      </c>
      <c r="O62" s="319">
        <v>1.7038370965507688</v>
      </c>
      <c r="P62" s="319">
        <v>23.074030831337939</v>
      </c>
      <c r="Q62" s="312">
        <v>75.222132072111293</v>
      </c>
      <c r="R62" s="326">
        <v>0</v>
      </c>
    </row>
    <row r="63" spans="3:18">
      <c r="C63" s="311">
        <v>13</v>
      </c>
      <c r="D63" s="324">
        <v>0</v>
      </c>
      <c r="E63" s="319">
        <v>0.86451233731148036</v>
      </c>
      <c r="F63" s="319">
        <v>13.931730067397838</v>
      </c>
      <c r="G63" s="312">
        <v>85.203757595290682</v>
      </c>
      <c r="H63" s="322">
        <v>0</v>
      </c>
      <c r="I63" s="323">
        <v>0</v>
      </c>
      <c r="J63" s="319">
        <v>0.99422942625059729</v>
      </c>
      <c r="K63" s="319">
        <v>17.602087698018892</v>
      </c>
      <c r="L63" s="312">
        <v>81.40368287573051</v>
      </c>
      <c r="M63" s="326">
        <v>0</v>
      </c>
      <c r="N63" s="322">
        <v>0</v>
      </c>
      <c r="O63" s="319">
        <v>0.72632588735096615</v>
      </c>
      <c r="P63" s="319">
        <v>10.021731044068991</v>
      </c>
      <c r="Q63" s="312">
        <v>89.251943068580047</v>
      </c>
      <c r="R63" s="326">
        <v>0</v>
      </c>
    </row>
    <row r="64" spans="3:18">
      <c r="C64" s="317">
        <v>14</v>
      </c>
      <c r="D64" s="324">
        <v>0</v>
      </c>
      <c r="E64" s="319">
        <v>0.56808944925127791</v>
      </c>
      <c r="F64" s="319">
        <v>6.8595220462058126</v>
      </c>
      <c r="G64" s="312">
        <v>91.7712830331822</v>
      </c>
      <c r="H64" s="319">
        <v>0.8011054713607052</v>
      </c>
      <c r="I64" s="323">
        <v>0</v>
      </c>
      <c r="J64" s="319">
        <v>0.59575370799229233</v>
      </c>
      <c r="K64" s="319">
        <v>9.1307652871815712</v>
      </c>
      <c r="L64" s="312">
        <v>89.573426202556263</v>
      </c>
      <c r="M64" s="331">
        <v>0.7000548022698746</v>
      </c>
      <c r="N64" s="322">
        <v>0</v>
      </c>
      <c r="O64" s="319">
        <v>0.53919305696611586</v>
      </c>
      <c r="P64" s="319">
        <v>4.4871203028344571</v>
      </c>
      <c r="Q64" s="312">
        <v>94.067029821807779</v>
      </c>
      <c r="R64" s="331">
        <v>0.90665681839165357</v>
      </c>
    </row>
    <row r="65" spans="3:18">
      <c r="C65" s="325">
        <v>15</v>
      </c>
      <c r="D65" s="324">
        <v>0</v>
      </c>
      <c r="E65" s="319">
        <v>0.2983195577207291</v>
      </c>
      <c r="F65" s="319">
        <v>3.0169503895487804</v>
      </c>
      <c r="G65" s="319">
        <v>44.551790829638549</v>
      </c>
      <c r="H65" s="312">
        <v>52.132939223091945</v>
      </c>
      <c r="I65" s="323">
        <v>0</v>
      </c>
      <c r="J65" s="319">
        <v>0.31909935104513998</v>
      </c>
      <c r="K65" s="319">
        <v>4.028181133699043</v>
      </c>
      <c r="L65" s="319">
        <v>50.39259976336453</v>
      </c>
      <c r="M65" s="328">
        <v>45.260119751891295</v>
      </c>
      <c r="N65" s="322">
        <v>0</v>
      </c>
      <c r="O65" s="319">
        <v>0.27678704116510627</v>
      </c>
      <c r="P65" s="319">
        <v>1.9690890176846485</v>
      </c>
      <c r="Q65" s="319">
        <v>38.499405558032393</v>
      </c>
      <c r="R65" s="328">
        <v>59.254718383117847</v>
      </c>
    </row>
    <row r="66" spans="3:18">
      <c r="C66" s="311">
        <v>16</v>
      </c>
      <c r="D66" s="324">
        <v>0</v>
      </c>
      <c r="E66" s="319">
        <v>0.1433855427188456</v>
      </c>
      <c r="F66" s="319">
        <v>1.0968537376135896</v>
      </c>
      <c r="G66" s="319">
        <v>28.068861591853512</v>
      </c>
      <c r="H66" s="312">
        <v>66.4185579250194</v>
      </c>
      <c r="I66" s="323">
        <v>0</v>
      </c>
      <c r="J66" s="319">
        <v>0.14491197939029626</v>
      </c>
      <c r="K66" s="319">
        <v>1.4240732789466151</v>
      </c>
      <c r="L66" s="319">
        <v>33.324388149420351</v>
      </c>
      <c r="M66" s="328">
        <v>59.181336768283956</v>
      </c>
      <c r="N66" s="322">
        <v>0</v>
      </c>
      <c r="O66" s="319">
        <v>0.14179369018078697</v>
      </c>
      <c r="P66" s="319">
        <v>0.75561111214761467</v>
      </c>
      <c r="Q66" s="319">
        <v>22.588107987089312</v>
      </c>
      <c r="R66" s="328">
        <v>73.965932200227613</v>
      </c>
    </row>
    <row r="67" spans="3:18">
      <c r="C67" s="317">
        <v>17</v>
      </c>
      <c r="D67" s="324">
        <v>0</v>
      </c>
      <c r="E67" s="319">
        <v>0.11325643976116483</v>
      </c>
      <c r="F67" s="319">
        <v>0.38144768911560312</v>
      </c>
      <c r="G67" s="319">
        <v>14.297492955449448</v>
      </c>
      <c r="H67" s="312">
        <v>69.406264440196068</v>
      </c>
      <c r="I67" s="323">
        <v>0</v>
      </c>
      <c r="J67" s="319">
        <v>0.13487612692553416</v>
      </c>
      <c r="K67" s="319">
        <v>0.48981330304536097</v>
      </c>
      <c r="L67" s="319">
        <v>17.166536523035422</v>
      </c>
      <c r="M67" s="328">
        <v>62.75644210974658</v>
      </c>
      <c r="N67" s="322">
        <v>0</v>
      </c>
      <c r="O67" s="319">
        <v>9.0705466392699136E-2</v>
      </c>
      <c r="P67" s="319">
        <v>0.2684141352437015</v>
      </c>
      <c r="Q67" s="319">
        <v>11.304862923677829</v>
      </c>
      <c r="R67" s="328">
        <v>76.342533459210301</v>
      </c>
    </row>
    <row r="68" spans="3:18">
      <c r="C68" s="330">
        <v>18</v>
      </c>
      <c r="D68" s="324">
        <v>0</v>
      </c>
      <c r="E68" s="319">
        <v>4.2576320318869459E-2</v>
      </c>
      <c r="F68" s="319">
        <v>0.22737566808587734</v>
      </c>
      <c r="G68" s="319">
        <v>6.1001902346227013</v>
      </c>
      <c r="H68" s="319">
        <v>38.661110607844911</v>
      </c>
      <c r="I68" s="323">
        <v>0</v>
      </c>
      <c r="J68" s="319">
        <v>5.3266099678627866E-2</v>
      </c>
      <c r="K68" s="319">
        <v>0.2698815717050479</v>
      </c>
      <c r="L68" s="319">
        <v>7.119901990376591</v>
      </c>
      <c r="M68" s="331">
        <v>38.136751833241597</v>
      </c>
      <c r="N68" s="322">
        <v>0</v>
      </c>
      <c r="O68" s="319">
        <v>3.1441306478758625E-2</v>
      </c>
      <c r="P68" s="319">
        <v>0.18309937302335905</v>
      </c>
      <c r="Q68" s="319">
        <v>5.03800699106697</v>
      </c>
      <c r="R68" s="331">
        <v>39.207309179012</v>
      </c>
    </row>
    <row r="69" spans="3:18">
      <c r="C69" s="333">
        <v>19</v>
      </c>
      <c r="D69" s="324">
        <v>0</v>
      </c>
      <c r="E69" s="319">
        <v>3.2998885172798219E-2</v>
      </c>
      <c r="F69" s="319">
        <v>0.11772575250836122</v>
      </c>
      <c r="G69" s="319">
        <v>2.4035674470457078</v>
      </c>
      <c r="H69" s="319">
        <v>20.664437012263097</v>
      </c>
      <c r="I69" s="323">
        <v>0</v>
      </c>
      <c r="J69" s="319">
        <v>3.6676097663208632E-2</v>
      </c>
      <c r="K69" s="319">
        <v>0.12923958224178281</v>
      </c>
      <c r="L69" s="319">
        <v>2.6197212616577596</v>
      </c>
      <c r="M69" s="331">
        <v>21.848475322225717</v>
      </c>
      <c r="N69" s="322">
        <v>0</v>
      </c>
      <c r="O69" s="319">
        <v>2.9161426722802416E-2</v>
      </c>
      <c r="P69" s="319">
        <v>0.10571017187015876</v>
      </c>
      <c r="Q69" s="319">
        <v>2.1779940583593054</v>
      </c>
      <c r="R69" s="331">
        <v>19.428800554067109</v>
      </c>
    </row>
    <row r="70" spans="3:18" ht="15.75" thickBot="1">
      <c r="C70" s="349">
        <v>20</v>
      </c>
      <c r="D70" s="350">
        <v>0</v>
      </c>
      <c r="E70" s="351">
        <v>5.8500265910299595E-2</v>
      </c>
      <c r="F70" s="351">
        <v>8.952313419606453E-2</v>
      </c>
      <c r="G70" s="351">
        <v>1.3543697925899663</v>
      </c>
      <c r="H70" s="351">
        <v>10.961708916858713</v>
      </c>
      <c r="I70" s="352">
        <v>0</v>
      </c>
      <c r="J70" s="351">
        <v>6.5835065835065834E-2</v>
      </c>
      <c r="K70" s="351">
        <v>0.10221760221760222</v>
      </c>
      <c r="L70" s="351">
        <v>1.457033957033957</v>
      </c>
      <c r="M70" s="353">
        <v>11.815661815661816</v>
      </c>
      <c r="N70" s="354">
        <v>0</v>
      </c>
      <c r="O70" s="351">
        <v>5.0816696914700546E-2</v>
      </c>
      <c r="P70" s="351">
        <v>7.6225045372050812E-2</v>
      </c>
      <c r="Q70" s="351">
        <v>1.2468239564428312</v>
      </c>
      <c r="R70" s="353">
        <v>10.067150635208712</v>
      </c>
    </row>
    <row r="71" spans="3:18" ht="15.75" thickTop="1"/>
    <row r="73" spans="3:18">
      <c r="C73" s="2" t="s">
        <v>759</v>
      </c>
    </row>
  </sheetData>
  <mergeCells count="43">
    <mergeCell ref="C6:C8"/>
    <mergeCell ref="D6:H6"/>
    <mergeCell ref="I6:M6"/>
    <mergeCell ref="N6:R6"/>
    <mergeCell ref="D7:D8"/>
    <mergeCell ref="E7:G7"/>
    <mergeCell ref="H7:H8"/>
    <mergeCell ref="I7:I8"/>
    <mergeCell ref="J7:L7"/>
    <mergeCell ref="M7:M8"/>
    <mergeCell ref="N7:N8"/>
    <mergeCell ref="O7:Q7"/>
    <mergeCell ref="R7:R8"/>
    <mergeCell ref="C1:AM1"/>
    <mergeCell ref="C27:R27"/>
    <mergeCell ref="C28:C30"/>
    <mergeCell ref="D28:H28"/>
    <mergeCell ref="I28:M28"/>
    <mergeCell ref="N28:R28"/>
    <mergeCell ref="D29:D30"/>
    <mergeCell ref="E29:G29"/>
    <mergeCell ref="H29:H30"/>
    <mergeCell ref="I29:I30"/>
    <mergeCell ref="J29:L29"/>
    <mergeCell ref="M29:M30"/>
    <mergeCell ref="N29:N30"/>
    <mergeCell ref="O29:Q29"/>
    <mergeCell ref="R29:R30"/>
    <mergeCell ref="C5:R5"/>
    <mergeCell ref="C49:R49"/>
    <mergeCell ref="C50:C52"/>
    <mergeCell ref="D50:H50"/>
    <mergeCell ref="I50:M50"/>
    <mergeCell ref="N50:R50"/>
    <mergeCell ref="D51:D52"/>
    <mergeCell ref="E51:G51"/>
    <mergeCell ref="H51:H52"/>
    <mergeCell ref="I51:I52"/>
    <mergeCell ref="J51:L51"/>
    <mergeCell ref="M51:M52"/>
    <mergeCell ref="N51:N52"/>
    <mergeCell ref="O51:Q51"/>
    <mergeCell ref="R51:R5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B1:AM118"/>
  <sheetViews>
    <sheetView workbookViewId="0"/>
  </sheetViews>
  <sheetFormatPr defaultRowHeight="15"/>
  <cols>
    <col min="1" max="1" width="2.28515625" customWidth="1"/>
    <col min="2" max="2" width="5.7109375" customWidth="1"/>
    <col min="3" max="3" width="17.42578125" customWidth="1"/>
    <col min="4" max="18" width="9.7109375" customWidth="1"/>
  </cols>
  <sheetData>
    <row r="1" spans="2:39">
      <c r="B1" s="53"/>
      <c r="C1" s="1420" t="s">
        <v>293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296</v>
      </c>
    </row>
    <row r="5" spans="2:39" ht="18" customHeight="1">
      <c r="C5" s="279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303" t="s">
        <v>584</v>
      </c>
    </row>
    <row r="6" spans="2:39" ht="15.75">
      <c r="C6" s="28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279" t="s">
        <v>307</v>
      </c>
    </row>
    <row r="7" spans="2:39" ht="30" customHeight="1">
      <c r="C7" s="1430" t="s">
        <v>585</v>
      </c>
      <c r="D7" s="1432" t="s">
        <v>572</v>
      </c>
      <c r="E7" s="1432" t="s">
        <v>573</v>
      </c>
      <c r="F7" s="1432" t="s">
        <v>574</v>
      </c>
      <c r="G7" s="1432" t="s">
        <v>586</v>
      </c>
      <c r="H7" s="1434" t="s">
        <v>587</v>
      </c>
      <c r="I7" s="1432" t="s">
        <v>576</v>
      </c>
      <c r="J7" s="1432" t="s">
        <v>577</v>
      </c>
      <c r="K7" s="1434" t="s">
        <v>587</v>
      </c>
      <c r="L7" s="1432" t="s">
        <v>434</v>
      </c>
      <c r="M7" s="1432" t="s">
        <v>435</v>
      </c>
      <c r="N7" s="1432" t="s">
        <v>436</v>
      </c>
      <c r="O7" s="1434" t="s">
        <v>588</v>
      </c>
      <c r="P7" s="1426" t="s">
        <v>437</v>
      </c>
      <c r="Q7" s="1426" t="s">
        <v>438</v>
      </c>
      <c r="R7" s="1428" t="s">
        <v>578</v>
      </c>
    </row>
    <row r="8" spans="2:39" ht="20.25" customHeight="1">
      <c r="C8" s="1431"/>
      <c r="D8" s="1433"/>
      <c r="E8" s="1433"/>
      <c r="F8" s="1433"/>
      <c r="G8" s="1433"/>
      <c r="H8" s="1435"/>
      <c r="I8" s="1433"/>
      <c r="J8" s="1433"/>
      <c r="K8" s="1435"/>
      <c r="L8" s="1433"/>
      <c r="M8" s="1433"/>
      <c r="N8" s="1433"/>
      <c r="O8" s="1435"/>
      <c r="P8" s="1427"/>
      <c r="Q8" s="1427"/>
      <c r="R8" s="1429"/>
    </row>
    <row r="9" spans="2:39">
      <c r="C9" s="283" t="s">
        <v>589</v>
      </c>
      <c r="D9" s="284">
        <v>2034</v>
      </c>
      <c r="E9" s="284">
        <v>8666</v>
      </c>
      <c r="F9" s="284">
        <v>9008</v>
      </c>
      <c r="G9" s="284">
        <v>17402</v>
      </c>
      <c r="H9" s="285"/>
      <c r="I9" s="284">
        <v>15239</v>
      </c>
      <c r="J9" s="284">
        <v>15741</v>
      </c>
      <c r="K9" s="285"/>
      <c r="L9" s="284">
        <v>18904</v>
      </c>
      <c r="M9" s="284">
        <v>15970</v>
      </c>
      <c r="N9" s="284">
        <v>17344</v>
      </c>
      <c r="O9" s="285"/>
      <c r="P9" s="284">
        <v>15572</v>
      </c>
      <c r="Q9" s="284">
        <v>8768</v>
      </c>
      <c r="R9" s="284">
        <v>13642</v>
      </c>
    </row>
    <row r="10" spans="2:39">
      <c r="C10" s="283" t="s">
        <v>590</v>
      </c>
      <c r="D10" s="284">
        <v>227</v>
      </c>
      <c r="E10" s="284">
        <v>2313</v>
      </c>
      <c r="F10" s="284">
        <v>4045</v>
      </c>
      <c r="G10" s="284">
        <v>8408</v>
      </c>
      <c r="H10" s="285"/>
      <c r="I10" s="284">
        <v>8586</v>
      </c>
      <c r="J10" s="284">
        <v>9093</v>
      </c>
      <c r="K10" s="285"/>
      <c r="L10" s="284">
        <v>10682</v>
      </c>
      <c r="M10" s="284">
        <v>9767</v>
      </c>
      <c r="N10" s="284">
        <v>11429</v>
      </c>
      <c r="O10" s="285"/>
      <c r="P10" s="284">
        <v>10253</v>
      </c>
      <c r="Q10" s="284">
        <v>4455</v>
      </c>
      <c r="R10" s="284">
        <v>9948</v>
      </c>
    </row>
    <row r="11" spans="2:39">
      <c r="C11" s="286" t="s">
        <v>591</v>
      </c>
      <c r="D11" s="287">
        <v>79</v>
      </c>
      <c r="E11" s="287">
        <v>1180</v>
      </c>
      <c r="F11" s="287">
        <v>1891</v>
      </c>
      <c r="G11" s="287">
        <v>4032</v>
      </c>
      <c r="H11" s="285"/>
      <c r="I11" s="287">
        <v>4541</v>
      </c>
      <c r="J11" s="287">
        <v>4961</v>
      </c>
      <c r="K11" s="285"/>
      <c r="L11" s="287">
        <v>4605</v>
      </c>
      <c r="M11" s="287">
        <v>4292</v>
      </c>
      <c r="N11" s="287">
        <v>5582</v>
      </c>
      <c r="O11" s="285"/>
      <c r="P11" s="287">
        <v>4914</v>
      </c>
      <c r="Q11" s="287">
        <v>1615</v>
      </c>
      <c r="R11" s="287">
        <v>6201</v>
      </c>
    </row>
    <row r="12" spans="2:39">
      <c r="C12" s="286" t="s">
        <v>592</v>
      </c>
      <c r="D12" s="287">
        <v>43</v>
      </c>
      <c r="E12" s="287">
        <v>661</v>
      </c>
      <c r="F12" s="287">
        <v>945</v>
      </c>
      <c r="G12" s="287">
        <v>2113</v>
      </c>
      <c r="H12" s="285"/>
      <c r="I12" s="287">
        <v>2201</v>
      </c>
      <c r="J12" s="287">
        <v>2052</v>
      </c>
      <c r="K12" s="285"/>
      <c r="L12" s="287">
        <v>1333</v>
      </c>
      <c r="M12" s="287">
        <v>1273</v>
      </c>
      <c r="N12" s="287">
        <v>1312</v>
      </c>
      <c r="O12" s="285"/>
      <c r="P12" s="287">
        <v>1561</v>
      </c>
      <c r="Q12" s="287">
        <v>361</v>
      </c>
      <c r="R12" s="287">
        <v>3961</v>
      </c>
    </row>
    <row r="13" spans="2:39">
      <c r="C13" s="286" t="s">
        <v>593</v>
      </c>
      <c r="D13" s="287">
        <v>108</v>
      </c>
      <c r="E13" s="287">
        <v>1237</v>
      </c>
      <c r="F13" s="287">
        <v>730</v>
      </c>
      <c r="G13" s="287">
        <v>944</v>
      </c>
      <c r="H13" s="285"/>
      <c r="I13" s="287">
        <v>558</v>
      </c>
      <c r="J13" s="287">
        <v>0</v>
      </c>
      <c r="K13" s="285"/>
      <c r="L13" s="287">
        <v>271</v>
      </c>
      <c r="M13" s="287">
        <v>284</v>
      </c>
      <c r="N13" s="287">
        <v>639</v>
      </c>
      <c r="O13" s="285"/>
      <c r="P13" s="287">
        <v>485</v>
      </c>
      <c r="Q13" s="287">
        <v>142</v>
      </c>
      <c r="R13" s="287">
        <v>11051</v>
      </c>
    </row>
    <row r="14" spans="2:39">
      <c r="C14" s="288" t="s">
        <v>594</v>
      </c>
      <c r="D14" s="289">
        <v>230</v>
      </c>
      <c r="E14" s="289">
        <v>3078</v>
      </c>
      <c r="F14" s="289">
        <v>3566</v>
      </c>
      <c r="G14" s="289">
        <v>7089</v>
      </c>
      <c r="H14" s="290"/>
      <c r="I14" s="289">
        <v>7300</v>
      </c>
      <c r="J14" s="289">
        <v>7013</v>
      </c>
      <c r="K14" s="291"/>
      <c r="L14" s="289">
        <v>6209</v>
      </c>
      <c r="M14" s="289">
        <v>5849</v>
      </c>
      <c r="N14" s="289">
        <v>7533</v>
      </c>
      <c r="O14" s="291"/>
      <c r="P14" s="289">
        <v>6960</v>
      </c>
      <c r="Q14" s="289">
        <v>2118</v>
      </c>
      <c r="R14" s="289">
        <v>21213</v>
      </c>
    </row>
    <row r="15" spans="2:39" ht="6.75" customHeight="1">
      <c r="C15" s="286"/>
      <c r="D15" s="287"/>
      <c r="E15" s="287"/>
      <c r="F15" s="287"/>
      <c r="G15" s="287"/>
      <c r="H15" s="285"/>
      <c r="I15" s="287"/>
      <c r="J15" s="287"/>
      <c r="K15" s="285"/>
      <c r="L15" s="287"/>
      <c r="M15" s="287"/>
      <c r="N15" s="287"/>
      <c r="O15" s="285"/>
      <c r="P15" s="287"/>
      <c r="Q15" s="287"/>
      <c r="R15" s="287"/>
    </row>
    <row r="16" spans="2:39">
      <c r="C16" s="292" t="s">
        <v>595</v>
      </c>
      <c r="D16" s="293">
        <v>2491</v>
      </c>
      <c r="E16" s="293">
        <v>14057</v>
      </c>
      <c r="F16" s="293">
        <v>16619</v>
      </c>
      <c r="G16" s="293">
        <v>32899</v>
      </c>
      <c r="H16" s="294"/>
      <c r="I16" s="293">
        <v>31125</v>
      </c>
      <c r="J16" s="293">
        <v>31847</v>
      </c>
      <c r="K16" s="294"/>
      <c r="L16" s="293">
        <v>35795</v>
      </c>
      <c r="M16" s="293">
        <v>31586</v>
      </c>
      <c r="N16" s="293">
        <v>36306</v>
      </c>
      <c r="O16" s="294"/>
      <c r="P16" s="293">
        <v>32785</v>
      </c>
      <c r="Q16" s="293">
        <v>15341</v>
      </c>
      <c r="R16" s="293">
        <v>44803</v>
      </c>
    </row>
    <row r="17" spans="3:18" ht="17.25" customHeight="1">
      <c r="C17" s="295" t="s">
        <v>596</v>
      </c>
      <c r="D17" s="296">
        <v>58506</v>
      </c>
      <c r="E17" s="296">
        <v>69311</v>
      </c>
      <c r="F17" s="296">
        <v>66612</v>
      </c>
      <c r="G17" s="296">
        <v>82411</v>
      </c>
      <c r="H17" s="297"/>
      <c r="I17" s="296">
        <v>76290</v>
      </c>
      <c r="J17" s="296">
        <v>75099</v>
      </c>
      <c r="K17" s="297"/>
      <c r="L17" s="296">
        <v>75835</v>
      </c>
      <c r="M17" s="296">
        <v>67349</v>
      </c>
      <c r="N17" s="296">
        <v>68907</v>
      </c>
      <c r="O17" s="297"/>
      <c r="P17" s="296">
        <v>57968</v>
      </c>
      <c r="Q17" s="296">
        <v>33189</v>
      </c>
      <c r="R17" s="296">
        <v>62349</v>
      </c>
    </row>
    <row r="19" spans="3:18" ht="15.75">
      <c r="C19" s="28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281" t="s">
        <v>308</v>
      </c>
    </row>
    <row r="20" spans="3:18" ht="30" customHeight="1">
      <c r="C20" s="1430" t="s">
        <v>585</v>
      </c>
      <c r="D20" s="1432" t="s">
        <v>572</v>
      </c>
      <c r="E20" s="1432" t="s">
        <v>573</v>
      </c>
      <c r="F20" s="1432" t="s">
        <v>574</v>
      </c>
      <c r="G20" s="1432" t="s">
        <v>586</v>
      </c>
      <c r="H20" s="1434" t="s">
        <v>587</v>
      </c>
      <c r="I20" s="1432" t="s">
        <v>576</v>
      </c>
      <c r="J20" s="1432" t="s">
        <v>577</v>
      </c>
      <c r="K20" s="1434" t="s">
        <v>587</v>
      </c>
      <c r="L20" s="1432" t="s">
        <v>434</v>
      </c>
      <c r="M20" s="1432" t="s">
        <v>435</v>
      </c>
      <c r="N20" s="1432" t="s">
        <v>436</v>
      </c>
      <c r="O20" s="1434" t="s">
        <v>588</v>
      </c>
      <c r="P20" s="1426" t="s">
        <v>437</v>
      </c>
      <c r="Q20" s="1426" t="s">
        <v>438</v>
      </c>
      <c r="R20" s="1428" t="s">
        <v>578</v>
      </c>
    </row>
    <row r="21" spans="3:18" ht="20.25" customHeight="1">
      <c r="C21" s="1431"/>
      <c r="D21" s="1433"/>
      <c r="E21" s="1433"/>
      <c r="F21" s="1433"/>
      <c r="G21" s="1433"/>
      <c r="H21" s="1435"/>
      <c r="I21" s="1433"/>
      <c r="J21" s="1433"/>
      <c r="K21" s="1435"/>
      <c r="L21" s="1433"/>
      <c r="M21" s="1433"/>
      <c r="N21" s="1433"/>
      <c r="O21" s="1435"/>
      <c r="P21" s="1427"/>
      <c r="Q21" s="1427"/>
      <c r="R21" s="1429"/>
    </row>
    <row r="22" spans="3:18">
      <c r="C22" s="283" t="s">
        <v>589</v>
      </c>
      <c r="D22" s="284">
        <v>1682</v>
      </c>
      <c r="E22" s="284">
        <v>6399</v>
      </c>
      <c r="F22" s="284">
        <v>6780</v>
      </c>
      <c r="G22" s="284">
        <v>13090</v>
      </c>
      <c r="H22" s="298"/>
      <c r="I22" s="284">
        <v>11967</v>
      </c>
      <c r="J22" s="284">
        <v>12473</v>
      </c>
      <c r="K22" s="298"/>
      <c r="L22" s="284">
        <v>15946</v>
      </c>
      <c r="M22" s="284">
        <v>14207</v>
      </c>
      <c r="N22" s="284">
        <v>16310</v>
      </c>
      <c r="O22" s="298"/>
      <c r="P22" s="284">
        <f>11474+4165</f>
        <v>15639</v>
      </c>
      <c r="Q22" s="284">
        <f>7296+3083</f>
        <v>10379</v>
      </c>
      <c r="R22" s="284">
        <f>480+164+13700+1423</f>
        <v>15767</v>
      </c>
    </row>
    <row r="23" spans="3:18">
      <c r="C23" s="283" t="s">
        <v>590</v>
      </c>
      <c r="D23" s="284">
        <v>177</v>
      </c>
      <c r="E23" s="284">
        <v>1502</v>
      </c>
      <c r="F23" s="284">
        <v>2456</v>
      </c>
      <c r="G23" s="284">
        <v>5264</v>
      </c>
      <c r="H23" s="298"/>
      <c r="I23" s="284">
        <v>5330</v>
      </c>
      <c r="J23" s="284">
        <v>5736</v>
      </c>
      <c r="K23" s="298"/>
      <c r="L23" s="284">
        <v>7063</v>
      </c>
      <c r="M23" s="284">
        <v>6904</v>
      </c>
      <c r="N23" s="284">
        <v>9635</v>
      </c>
      <c r="O23" s="298"/>
      <c r="P23" s="284">
        <f>6092+2935</f>
        <v>9027</v>
      </c>
      <c r="Q23" s="284">
        <f>3219+2007</f>
        <v>5226</v>
      </c>
      <c r="R23" s="284">
        <f>228+88+9273+969</f>
        <v>10558</v>
      </c>
    </row>
    <row r="24" spans="3:18">
      <c r="C24" s="286" t="s">
        <v>591</v>
      </c>
      <c r="D24" s="287">
        <v>67</v>
      </c>
      <c r="E24" s="287">
        <v>727</v>
      </c>
      <c r="F24" s="287">
        <v>1018</v>
      </c>
      <c r="G24" s="287">
        <v>2405</v>
      </c>
      <c r="H24" s="298"/>
      <c r="I24" s="287">
        <v>2560</v>
      </c>
      <c r="J24" s="287">
        <v>2734</v>
      </c>
      <c r="K24" s="298"/>
      <c r="L24" s="287">
        <v>2801</v>
      </c>
      <c r="M24" s="287">
        <v>2914</v>
      </c>
      <c r="N24" s="287">
        <v>4490</v>
      </c>
      <c r="O24" s="298"/>
      <c r="P24" s="287">
        <f>2645+1507</f>
        <v>4152</v>
      </c>
      <c r="Q24" s="287">
        <f>1083+863</f>
        <v>1946</v>
      </c>
      <c r="R24" s="287">
        <f>93+41+6296+546</f>
        <v>6976</v>
      </c>
    </row>
    <row r="25" spans="3:18">
      <c r="C25" s="286" t="s">
        <v>592</v>
      </c>
      <c r="D25" s="287">
        <v>40</v>
      </c>
      <c r="E25" s="287">
        <v>418</v>
      </c>
      <c r="F25" s="287">
        <v>455</v>
      </c>
      <c r="G25" s="287">
        <v>1195</v>
      </c>
      <c r="H25" s="298"/>
      <c r="I25" s="287">
        <v>1106</v>
      </c>
      <c r="J25" s="287">
        <v>1078</v>
      </c>
      <c r="K25" s="298"/>
      <c r="L25" s="287">
        <v>819</v>
      </c>
      <c r="M25" s="287">
        <v>951</v>
      </c>
      <c r="N25" s="287">
        <v>1180</v>
      </c>
      <c r="O25" s="298"/>
      <c r="P25" s="287">
        <f>783+550</f>
        <v>1333</v>
      </c>
      <c r="Q25" s="287">
        <f>304+219</f>
        <v>523</v>
      </c>
      <c r="R25" s="287">
        <f>30+15+4238+258</f>
        <v>4541</v>
      </c>
    </row>
    <row r="26" spans="3:18">
      <c r="C26" s="286" t="s">
        <v>593</v>
      </c>
      <c r="D26" s="287">
        <f>41+20+8+17</f>
        <v>86</v>
      </c>
      <c r="E26" s="287">
        <f>291+255+282</f>
        <v>828</v>
      </c>
      <c r="F26" s="287">
        <f>271+167</f>
        <v>438</v>
      </c>
      <c r="G26" s="287">
        <v>642</v>
      </c>
      <c r="H26" s="298"/>
      <c r="I26" s="287">
        <v>348</v>
      </c>
      <c r="J26" s="287"/>
      <c r="K26" s="298"/>
      <c r="L26" s="287">
        <f>163+48</f>
        <v>211</v>
      </c>
      <c r="M26" s="287">
        <v>222</v>
      </c>
      <c r="N26" s="287">
        <f>396+126+18+18+17+17+16+16+16+16+16</f>
        <v>672</v>
      </c>
      <c r="O26" s="298"/>
      <c r="P26" s="287">
        <f>213+159+73+54</f>
        <v>499</v>
      </c>
      <c r="Q26" s="287">
        <f>75+75</f>
        <v>150</v>
      </c>
      <c r="R26" s="287">
        <f>2825+1763+1217+947+739+525+431+409+1421+76+42+20+21</f>
        <v>10436</v>
      </c>
    </row>
    <row r="27" spans="3:18">
      <c r="C27" s="288" t="s">
        <v>594</v>
      </c>
      <c r="D27" s="299">
        <f>D24+D25+D26</f>
        <v>193</v>
      </c>
      <c r="E27" s="299">
        <f>E24+E25+E26</f>
        <v>1973</v>
      </c>
      <c r="F27" s="299">
        <f>F24+F25+F26</f>
        <v>1911</v>
      </c>
      <c r="G27" s="299">
        <f>G24+G25+G26</f>
        <v>4242</v>
      </c>
      <c r="H27" s="300"/>
      <c r="I27" s="289">
        <f>I24+I25+I26</f>
        <v>4014</v>
      </c>
      <c r="J27" s="289">
        <f>J24+J25</f>
        <v>3812</v>
      </c>
      <c r="K27" s="301"/>
      <c r="L27" s="289">
        <f>L24+L25+L26</f>
        <v>3831</v>
      </c>
      <c r="M27" s="289">
        <f>M24+M25+M26</f>
        <v>4087</v>
      </c>
      <c r="N27" s="289">
        <f>N24+N25+N26</f>
        <v>6342</v>
      </c>
      <c r="O27" s="301"/>
      <c r="P27" s="289">
        <f>P24+P25+P26</f>
        <v>5984</v>
      </c>
      <c r="Q27" s="289">
        <f>Q24+Q25+Q26</f>
        <v>2619</v>
      </c>
      <c r="R27" s="289">
        <f>R24+R25+R26</f>
        <v>21953</v>
      </c>
    </row>
    <row r="28" spans="3:18" ht="6.75" customHeight="1">
      <c r="C28" s="286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</row>
    <row r="29" spans="3:18">
      <c r="C29" s="292" t="s">
        <v>595</v>
      </c>
      <c r="D29" s="293">
        <f>SUM(D22:D26)</f>
        <v>2052</v>
      </c>
      <c r="E29" s="293">
        <f t="shared" ref="E29:R29" si="0">SUM(E22:E26)</f>
        <v>9874</v>
      </c>
      <c r="F29" s="293">
        <f t="shared" si="0"/>
        <v>11147</v>
      </c>
      <c r="G29" s="293">
        <f t="shared" si="0"/>
        <v>22596</v>
      </c>
      <c r="H29" s="293"/>
      <c r="I29" s="293">
        <f t="shared" si="0"/>
        <v>21311</v>
      </c>
      <c r="J29" s="293">
        <f t="shared" si="0"/>
        <v>22021</v>
      </c>
      <c r="K29" s="293"/>
      <c r="L29" s="293">
        <f t="shared" si="0"/>
        <v>26840</v>
      </c>
      <c r="M29" s="293">
        <f t="shared" si="0"/>
        <v>25198</v>
      </c>
      <c r="N29" s="293">
        <f t="shared" si="0"/>
        <v>32287</v>
      </c>
      <c r="O29" s="293"/>
      <c r="P29" s="293">
        <f t="shared" si="0"/>
        <v>30650</v>
      </c>
      <c r="Q29" s="293">
        <f t="shared" si="0"/>
        <v>18224</v>
      </c>
      <c r="R29" s="293">
        <f t="shared" si="0"/>
        <v>48278</v>
      </c>
    </row>
    <row r="30" spans="3:18" ht="17.25" customHeight="1">
      <c r="C30" s="295" t="s">
        <v>596</v>
      </c>
      <c r="D30" s="296">
        <v>55270</v>
      </c>
      <c r="E30" s="296">
        <v>62409</v>
      </c>
      <c r="F30" s="296">
        <v>60422</v>
      </c>
      <c r="G30" s="296">
        <v>72114</v>
      </c>
      <c r="H30" s="302">
        <v>7725</v>
      </c>
      <c r="I30" s="296">
        <v>68473</v>
      </c>
      <c r="J30" s="296">
        <v>68516</v>
      </c>
      <c r="K30" s="302">
        <v>6918</v>
      </c>
      <c r="L30" s="296">
        <v>71860</v>
      </c>
      <c r="M30" s="296">
        <v>66717</v>
      </c>
      <c r="N30" s="296">
        <v>71799</v>
      </c>
      <c r="O30" s="302">
        <v>26746</v>
      </c>
      <c r="P30" s="296">
        <v>61843</v>
      </c>
      <c r="Q30" s="296">
        <v>43091</v>
      </c>
      <c r="R30" s="296">
        <v>73379</v>
      </c>
    </row>
    <row r="33" spans="3:18" ht="18" customHeight="1">
      <c r="C33" s="282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303" t="s">
        <v>446</v>
      </c>
    </row>
    <row r="34" spans="3:18" ht="15.75">
      <c r="C34" s="28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279" t="s">
        <v>307</v>
      </c>
    </row>
    <row r="35" spans="3:18" ht="30" customHeight="1">
      <c r="C35" s="1430" t="s">
        <v>585</v>
      </c>
      <c r="D35" s="1432" t="s">
        <v>572</v>
      </c>
      <c r="E35" s="1432" t="s">
        <v>573</v>
      </c>
      <c r="F35" s="1432" t="s">
        <v>574</v>
      </c>
      <c r="G35" s="1432" t="s">
        <v>586</v>
      </c>
      <c r="H35" s="1434" t="s">
        <v>587</v>
      </c>
      <c r="I35" s="1432" t="s">
        <v>576</v>
      </c>
      <c r="J35" s="1432" t="s">
        <v>577</v>
      </c>
      <c r="K35" s="1434" t="s">
        <v>587</v>
      </c>
      <c r="L35" s="1432" t="s">
        <v>434</v>
      </c>
      <c r="M35" s="1432" t="s">
        <v>435</v>
      </c>
      <c r="N35" s="1432" t="s">
        <v>436</v>
      </c>
      <c r="O35" s="1434" t="s">
        <v>588</v>
      </c>
      <c r="P35" s="1426" t="s">
        <v>437</v>
      </c>
      <c r="Q35" s="1426" t="s">
        <v>438</v>
      </c>
      <c r="R35" s="1428" t="s">
        <v>578</v>
      </c>
    </row>
    <row r="36" spans="3:18" ht="20.25" customHeight="1">
      <c r="C36" s="1431"/>
      <c r="D36" s="1433"/>
      <c r="E36" s="1433"/>
      <c r="F36" s="1433"/>
      <c r="G36" s="1433"/>
      <c r="H36" s="1435"/>
      <c r="I36" s="1433"/>
      <c r="J36" s="1433"/>
      <c r="K36" s="1435"/>
      <c r="L36" s="1433"/>
      <c r="M36" s="1433"/>
      <c r="N36" s="1433"/>
      <c r="O36" s="1435"/>
      <c r="P36" s="1427"/>
      <c r="Q36" s="1427"/>
      <c r="R36" s="1429"/>
    </row>
    <row r="37" spans="3:18">
      <c r="C37" s="283" t="s">
        <v>589</v>
      </c>
      <c r="D37" s="284">
        <v>1837</v>
      </c>
      <c r="E37" s="284">
        <v>9480</v>
      </c>
      <c r="F37" s="284">
        <v>9824</v>
      </c>
      <c r="G37" s="284">
        <v>12164</v>
      </c>
      <c r="H37" s="285"/>
      <c r="I37" s="284">
        <v>13096</v>
      </c>
      <c r="J37" s="284">
        <v>13390</v>
      </c>
      <c r="K37" s="285"/>
      <c r="L37" s="284">
        <v>14848</v>
      </c>
      <c r="M37" s="284">
        <v>13886</v>
      </c>
      <c r="N37" s="284">
        <v>13955</v>
      </c>
      <c r="O37" s="285"/>
      <c r="P37" s="284">
        <v>16935</v>
      </c>
      <c r="Q37" s="284">
        <v>10930</v>
      </c>
      <c r="R37" s="284">
        <v>14014</v>
      </c>
    </row>
    <row r="38" spans="3:18">
      <c r="C38" s="283" t="s">
        <v>590</v>
      </c>
      <c r="D38" s="284">
        <v>252</v>
      </c>
      <c r="E38" s="284">
        <v>2272</v>
      </c>
      <c r="F38" s="284">
        <v>3455</v>
      </c>
      <c r="G38" s="284">
        <v>5140</v>
      </c>
      <c r="H38" s="285"/>
      <c r="I38" s="284">
        <v>6746</v>
      </c>
      <c r="J38" s="284">
        <v>7732</v>
      </c>
      <c r="K38" s="285"/>
      <c r="L38" s="284">
        <v>9952</v>
      </c>
      <c r="M38" s="284">
        <v>9236</v>
      </c>
      <c r="N38" s="284">
        <v>8065</v>
      </c>
      <c r="O38" s="285"/>
      <c r="P38" s="284">
        <v>11003</v>
      </c>
      <c r="Q38" s="284">
        <v>7131</v>
      </c>
      <c r="R38" s="284">
        <v>9700</v>
      </c>
    </row>
    <row r="39" spans="3:18">
      <c r="C39" s="286" t="s">
        <v>591</v>
      </c>
      <c r="D39" s="287">
        <v>119</v>
      </c>
      <c r="E39" s="287">
        <v>777</v>
      </c>
      <c r="F39" s="287">
        <v>1218</v>
      </c>
      <c r="G39" s="287">
        <v>2035</v>
      </c>
      <c r="H39" s="285"/>
      <c r="I39" s="287">
        <v>3750</v>
      </c>
      <c r="J39" s="287">
        <v>4376</v>
      </c>
      <c r="K39" s="285"/>
      <c r="L39" s="287">
        <v>5302</v>
      </c>
      <c r="M39" s="287">
        <v>3983</v>
      </c>
      <c r="N39" s="287">
        <v>3563</v>
      </c>
      <c r="O39" s="285"/>
      <c r="P39" s="287">
        <v>4898</v>
      </c>
      <c r="Q39" s="287">
        <v>3926</v>
      </c>
      <c r="R39" s="287">
        <v>5743</v>
      </c>
    </row>
    <row r="40" spans="3:18">
      <c r="C40" s="286" t="s">
        <v>592</v>
      </c>
      <c r="D40" s="287">
        <v>48</v>
      </c>
      <c r="E40" s="287">
        <v>350</v>
      </c>
      <c r="F40" s="287">
        <v>456</v>
      </c>
      <c r="G40" s="287">
        <v>739</v>
      </c>
      <c r="H40" s="285"/>
      <c r="I40" s="287">
        <v>1762</v>
      </c>
      <c r="J40" s="287">
        <v>1463</v>
      </c>
      <c r="K40" s="285"/>
      <c r="L40" s="287">
        <v>1428</v>
      </c>
      <c r="M40" s="287">
        <v>1050</v>
      </c>
      <c r="N40" s="287">
        <v>820</v>
      </c>
      <c r="O40" s="285"/>
      <c r="P40" s="287">
        <v>1979</v>
      </c>
      <c r="Q40" s="287">
        <v>1621</v>
      </c>
      <c r="R40" s="287">
        <v>3104</v>
      </c>
    </row>
    <row r="41" spans="3:18">
      <c r="C41" s="286" t="s">
        <v>593</v>
      </c>
      <c r="D41" s="287">
        <v>123</v>
      </c>
      <c r="E41" s="287">
        <v>522</v>
      </c>
      <c r="F41" s="287">
        <v>386</v>
      </c>
      <c r="G41" s="287">
        <v>504</v>
      </c>
      <c r="H41" s="285"/>
      <c r="I41" s="287">
        <v>625</v>
      </c>
      <c r="J41" s="287">
        <v>330</v>
      </c>
      <c r="K41" s="285"/>
      <c r="L41" s="287">
        <v>334</v>
      </c>
      <c r="M41" s="287">
        <v>195</v>
      </c>
      <c r="N41" s="287">
        <v>188</v>
      </c>
      <c r="O41" s="285"/>
      <c r="P41" s="287">
        <v>1326</v>
      </c>
      <c r="Q41" s="287">
        <v>1101</v>
      </c>
      <c r="R41" s="287">
        <v>5475</v>
      </c>
    </row>
    <row r="42" spans="3:18">
      <c r="C42" s="288" t="s">
        <v>594</v>
      </c>
      <c r="D42" s="289">
        <v>290</v>
      </c>
      <c r="E42" s="289">
        <v>1649</v>
      </c>
      <c r="F42" s="289">
        <v>2060</v>
      </c>
      <c r="G42" s="289">
        <v>3278</v>
      </c>
      <c r="H42" s="290"/>
      <c r="I42" s="289">
        <v>6137</v>
      </c>
      <c r="J42" s="289">
        <v>6169</v>
      </c>
      <c r="K42" s="291"/>
      <c r="L42" s="289">
        <v>7064</v>
      </c>
      <c r="M42" s="289">
        <v>5228</v>
      </c>
      <c r="N42" s="289">
        <v>4571</v>
      </c>
      <c r="O42" s="291"/>
      <c r="P42" s="289">
        <v>8203</v>
      </c>
      <c r="Q42" s="289">
        <v>6648</v>
      </c>
      <c r="R42" s="289">
        <v>14322</v>
      </c>
    </row>
    <row r="43" spans="3:18" ht="6.75" customHeight="1">
      <c r="C43" s="286"/>
      <c r="D43" s="287"/>
      <c r="E43" s="287"/>
      <c r="F43" s="287"/>
      <c r="G43" s="287"/>
      <c r="H43" s="285"/>
      <c r="I43" s="287"/>
      <c r="J43" s="287"/>
      <c r="K43" s="285"/>
      <c r="L43" s="287"/>
      <c r="M43" s="287"/>
      <c r="N43" s="287"/>
      <c r="O43" s="285"/>
      <c r="P43" s="287"/>
      <c r="Q43" s="287"/>
      <c r="R43" s="287"/>
    </row>
    <row r="44" spans="3:18">
      <c r="C44" s="292" t="s">
        <v>595</v>
      </c>
      <c r="D44" s="293">
        <v>2379</v>
      </c>
      <c r="E44" s="293">
        <v>13401</v>
      </c>
      <c r="F44" s="293">
        <v>15339</v>
      </c>
      <c r="G44" s="293">
        <v>20582</v>
      </c>
      <c r="H44" s="294"/>
      <c r="I44" s="293">
        <v>25979</v>
      </c>
      <c r="J44" s="293">
        <v>27291</v>
      </c>
      <c r="K44" s="294"/>
      <c r="L44" s="293">
        <v>31864</v>
      </c>
      <c r="M44" s="293">
        <v>28350</v>
      </c>
      <c r="N44" s="293">
        <v>26591</v>
      </c>
      <c r="O44" s="294"/>
      <c r="P44" s="293">
        <v>36141</v>
      </c>
      <c r="Q44" s="293">
        <v>24709</v>
      </c>
      <c r="R44" s="293">
        <v>38036</v>
      </c>
    </row>
    <row r="45" spans="3:18" ht="17.25" customHeight="1">
      <c r="C45" s="295" t="s">
        <v>596</v>
      </c>
      <c r="D45" s="296">
        <v>56259</v>
      </c>
      <c r="E45" s="296">
        <v>67812</v>
      </c>
      <c r="F45" s="296">
        <v>62978</v>
      </c>
      <c r="G45" s="296">
        <v>65086</v>
      </c>
      <c r="H45" s="297"/>
      <c r="I45" s="296">
        <v>66962</v>
      </c>
      <c r="J45" s="296">
        <v>65890</v>
      </c>
      <c r="K45" s="297"/>
      <c r="L45" s="296">
        <v>68234</v>
      </c>
      <c r="M45" s="296">
        <v>61189</v>
      </c>
      <c r="N45" s="296">
        <v>56530</v>
      </c>
      <c r="O45" s="297"/>
      <c r="P45" s="296">
        <v>64047</v>
      </c>
      <c r="Q45" s="296">
        <v>43985</v>
      </c>
      <c r="R45" s="296">
        <v>55704</v>
      </c>
    </row>
    <row r="47" spans="3:18" ht="15.75">
      <c r="C47" s="28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281" t="s">
        <v>308</v>
      </c>
    </row>
    <row r="48" spans="3:18" ht="30" customHeight="1">
      <c r="C48" s="1430" t="s">
        <v>585</v>
      </c>
      <c r="D48" s="1432" t="s">
        <v>572</v>
      </c>
      <c r="E48" s="1432" t="s">
        <v>573</v>
      </c>
      <c r="F48" s="1432" t="s">
        <v>574</v>
      </c>
      <c r="G48" s="1432" t="s">
        <v>586</v>
      </c>
      <c r="H48" s="1434" t="s">
        <v>587</v>
      </c>
      <c r="I48" s="1432" t="s">
        <v>576</v>
      </c>
      <c r="J48" s="1432" t="s">
        <v>577</v>
      </c>
      <c r="K48" s="1434" t="s">
        <v>587</v>
      </c>
      <c r="L48" s="1432" t="s">
        <v>434</v>
      </c>
      <c r="M48" s="1432" t="s">
        <v>435</v>
      </c>
      <c r="N48" s="1432" t="s">
        <v>436</v>
      </c>
      <c r="O48" s="1434" t="s">
        <v>588</v>
      </c>
      <c r="P48" s="1426" t="s">
        <v>437</v>
      </c>
      <c r="Q48" s="1426" t="s">
        <v>438</v>
      </c>
      <c r="R48" s="1428" t="s">
        <v>578</v>
      </c>
    </row>
    <row r="49" spans="3:18" ht="20.25" customHeight="1">
      <c r="C49" s="1431"/>
      <c r="D49" s="1433"/>
      <c r="E49" s="1433"/>
      <c r="F49" s="1433"/>
      <c r="G49" s="1433"/>
      <c r="H49" s="1435"/>
      <c r="I49" s="1433"/>
      <c r="J49" s="1433"/>
      <c r="K49" s="1435"/>
      <c r="L49" s="1433"/>
      <c r="M49" s="1433"/>
      <c r="N49" s="1433"/>
      <c r="O49" s="1435"/>
      <c r="P49" s="1427"/>
      <c r="Q49" s="1427"/>
      <c r="R49" s="1429"/>
    </row>
    <row r="50" spans="3:18">
      <c r="C50" s="283" t="s">
        <v>589</v>
      </c>
      <c r="D50" s="284">
        <v>1557</v>
      </c>
      <c r="E50" s="284">
        <v>7042</v>
      </c>
      <c r="F50" s="284">
        <v>7401</v>
      </c>
      <c r="G50" s="284">
        <v>9294</v>
      </c>
      <c r="H50" s="298"/>
      <c r="I50" s="284">
        <f>9600+306</f>
        <v>9906</v>
      </c>
      <c r="J50" s="284">
        <f>9923+374</f>
        <v>10297</v>
      </c>
      <c r="K50" s="298"/>
      <c r="L50" s="284">
        <f>11800+18</f>
        <v>11818</v>
      </c>
      <c r="M50" s="284">
        <f>11578+19</f>
        <v>11597</v>
      </c>
      <c r="N50" s="284">
        <f>12586+24</f>
        <v>12610</v>
      </c>
      <c r="O50" s="298"/>
      <c r="P50" s="284">
        <f>11193+3592+26+86+1197</f>
        <v>16094</v>
      </c>
      <c r="Q50" s="284">
        <f>8621+2386+28+46+889</f>
        <v>11970</v>
      </c>
      <c r="R50" s="284">
        <f>12334+2622+26+45+33+818</f>
        <v>15878</v>
      </c>
    </row>
    <row r="51" spans="3:18">
      <c r="C51" s="283" t="s">
        <v>590</v>
      </c>
      <c r="D51" s="284">
        <v>209</v>
      </c>
      <c r="E51" s="284">
        <v>1652</v>
      </c>
      <c r="F51" s="284">
        <v>2384</v>
      </c>
      <c r="G51" s="284">
        <v>3594</v>
      </c>
      <c r="H51" s="298"/>
      <c r="I51" s="284">
        <f>3721+184</f>
        <v>3905</v>
      </c>
      <c r="J51" s="284">
        <f>4241+194</f>
        <v>4435</v>
      </c>
      <c r="K51" s="298"/>
      <c r="L51" s="284">
        <f>6288+4</f>
        <v>6292</v>
      </c>
      <c r="M51" s="284">
        <f>6255+1</f>
        <v>6256</v>
      </c>
      <c r="N51" s="284">
        <f>6038+4</f>
        <v>6042</v>
      </c>
      <c r="O51" s="298"/>
      <c r="P51" s="284">
        <f>5136+2403+3+63+1152</f>
        <v>8757</v>
      </c>
      <c r="Q51" s="284">
        <f>4134+1552+10+33+865</f>
        <v>6594</v>
      </c>
      <c r="R51" s="284">
        <f>6747+1759+8+28+66+834</f>
        <v>9442</v>
      </c>
    </row>
    <row r="52" spans="3:18">
      <c r="C52" s="286" t="s">
        <v>591</v>
      </c>
      <c r="D52" s="287">
        <v>98</v>
      </c>
      <c r="E52" s="287">
        <v>530</v>
      </c>
      <c r="F52" s="287">
        <v>758</v>
      </c>
      <c r="G52" s="287">
        <v>1364</v>
      </c>
      <c r="H52" s="298"/>
      <c r="I52" s="287">
        <f>1829+105</f>
        <v>1934</v>
      </c>
      <c r="J52" s="287">
        <f>2228+107</f>
        <v>2335</v>
      </c>
      <c r="K52" s="298"/>
      <c r="L52" s="287">
        <f>3014+16</f>
        <v>3030</v>
      </c>
      <c r="M52" s="287">
        <f>2562+4</f>
        <v>2566</v>
      </c>
      <c r="N52" s="287">
        <f>2331+11</f>
        <v>2342</v>
      </c>
      <c r="O52" s="298"/>
      <c r="P52" s="287">
        <f>1959+1087+4+28+770</f>
        <v>3848</v>
      </c>
      <c r="Q52" s="287">
        <f>1803+780+4+17+581</f>
        <v>3185</v>
      </c>
      <c r="R52" s="287">
        <f>3437+951+3+10+97+647</f>
        <v>5145</v>
      </c>
    </row>
    <row r="53" spans="3:18">
      <c r="C53" s="286" t="s">
        <v>592</v>
      </c>
      <c r="D53" s="287">
        <v>50</v>
      </c>
      <c r="E53" s="287">
        <v>264</v>
      </c>
      <c r="F53" s="287">
        <v>287</v>
      </c>
      <c r="G53" s="287">
        <v>496</v>
      </c>
      <c r="H53" s="298"/>
      <c r="I53" s="287">
        <f>880+52</f>
        <v>932</v>
      </c>
      <c r="J53" s="287">
        <f>786+50</f>
        <v>836</v>
      </c>
      <c r="K53" s="298"/>
      <c r="L53" s="287">
        <f>769+12</f>
        <v>781</v>
      </c>
      <c r="M53" s="287">
        <f>683+4</f>
        <v>687</v>
      </c>
      <c r="N53" s="287">
        <f>622+22</f>
        <v>644</v>
      </c>
      <c r="O53" s="298"/>
      <c r="P53" s="287">
        <f>722+401+1+17+374</f>
        <v>1515</v>
      </c>
      <c r="Q53" s="287">
        <f>724+316+1+8+318</f>
        <v>1367</v>
      </c>
      <c r="R53" s="287">
        <f>1763+556+2+3+106+378</f>
        <v>2808</v>
      </c>
    </row>
    <row r="54" spans="3:18">
      <c r="C54" s="286" t="s">
        <v>593</v>
      </c>
      <c r="D54" s="287">
        <f>37+28+16+21</f>
        <v>102</v>
      </c>
      <c r="E54" s="287">
        <f>142+111+82+32</f>
        <v>367</v>
      </c>
      <c r="F54" s="287">
        <f>134+63+19+25</f>
        <v>241</v>
      </c>
      <c r="G54" s="287">
        <f>202+71+21+59</f>
        <v>353</v>
      </c>
      <c r="H54" s="298"/>
      <c r="I54" s="287">
        <f>251+45+12+4+7+14+5+2+1+6</f>
        <v>347</v>
      </c>
      <c r="J54" s="287">
        <f>143+23+5+7+16+1+1+2</f>
        <v>198</v>
      </c>
      <c r="K54" s="298"/>
      <c r="L54" s="287">
        <f>128+23+4+3+1+1+1+1+2</f>
        <v>164</v>
      </c>
      <c r="M54" s="287">
        <f>124+23+1+1</f>
        <v>149</v>
      </c>
      <c r="N54" s="287">
        <f>80+8+4+2+1+1+1+2</f>
        <v>99</v>
      </c>
      <c r="O54" s="298"/>
      <c r="P54" s="287">
        <f>229+82+20+7+4+3+123+49+14+3+1+1+3+2+208+129+75+29+14+8+6+2+11</f>
        <v>1023</v>
      </c>
      <c r="Q54" s="287">
        <f>311+79+21+5+3+138+26+17+3+10+1+4+2+144+83+39+21+13+8+3+1+7</f>
        <v>939</v>
      </c>
      <c r="R54" s="287">
        <f>486+167+45+31+170+70+19+8+1+3+1+193+100+53+21+10+10+3+3+14+201+285+311+345+325+243+222+195+664+594+421</f>
        <v>5214</v>
      </c>
    </row>
    <row r="55" spans="3:18">
      <c r="C55" s="288" t="s">
        <v>594</v>
      </c>
      <c r="D55" s="299">
        <f>D52+D53+D54</f>
        <v>250</v>
      </c>
      <c r="E55" s="299">
        <f>E52+E53+E54</f>
        <v>1161</v>
      </c>
      <c r="F55" s="299">
        <f>F52+F53+F54</f>
        <v>1286</v>
      </c>
      <c r="G55" s="299">
        <f>G52+G53+G54</f>
        <v>2213</v>
      </c>
      <c r="H55" s="300"/>
      <c r="I55" s="289">
        <f>I52+I53+I54</f>
        <v>3213</v>
      </c>
      <c r="J55" s="289">
        <f>J52+J53</f>
        <v>3171</v>
      </c>
      <c r="K55" s="301"/>
      <c r="L55" s="289">
        <f>L52+L53+L54</f>
        <v>3975</v>
      </c>
      <c r="M55" s="289">
        <f>M52+M53+M54</f>
        <v>3402</v>
      </c>
      <c r="N55" s="289">
        <f>N52+N53+N54</f>
        <v>3085</v>
      </c>
      <c r="O55" s="301"/>
      <c r="P55" s="289">
        <f>P52+P53+P54</f>
        <v>6386</v>
      </c>
      <c r="Q55" s="289">
        <f>Q52+Q53+Q54</f>
        <v>5491</v>
      </c>
      <c r="R55" s="289">
        <f>R52+R53+R54</f>
        <v>13167</v>
      </c>
    </row>
    <row r="56" spans="3:18" ht="6.75" customHeight="1">
      <c r="C56" s="286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</row>
    <row r="57" spans="3:18">
      <c r="C57" s="292" t="s">
        <v>595</v>
      </c>
      <c r="D57" s="293">
        <f>SUM(D50:D54)</f>
        <v>2016</v>
      </c>
      <c r="E57" s="293">
        <f t="shared" ref="E57:R57" si="1">SUM(E50:E54)</f>
        <v>9855</v>
      </c>
      <c r="F57" s="293">
        <f t="shared" si="1"/>
        <v>11071</v>
      </c>
      <c r="G57" s="293">
        <f t="shared" si="1"/>
        <v>15101</v>
      </c>
      <c r="H57" s="293"/>
      <c r="I57" s="293">
        <f t="shared" si="1"/>
        <v>17024</v>
      </c>
      <c r="J57" s="293">
        <f t="shared" si="1"/>
        <v>18101</v>
      </c>
      <c r="K57" s="293"/>
      <c r="L57" s="293">
        <f t="shared" si="1"/>
        <v>22085</v>
      </c>
      <c r="M57" s="293">
        <f t="shared" si="1"/>
        <v>21255</v>
      </c>
      <c r="N57" s="293">
        <f t="shared" si="1"/>
        <v>21737</v>
      </c>
      <c r="O57" s="293"/>
      <c r="P57" s="293">
        <f t="shared" si="1"/>
        <v>31237</v>
      </c>
      <c r="Q57" s="293">
        <f t="shared" si="1"/>
        <v>24055</v>
      </c>
      <c r="R57" s="293">
        <f t="shared" si="1"/>
        <v>38487</v>
      </c>
    </row>
    <row r="58" spans="3:18" ht="17.25" customHeight="1">
      <c r="C58" s="295" t="s">
        <v>596</v>
      </c>
      <c r="D58" s="296">
        <f>D57+789+51607</f>
        <v>54412</v>
      </c>
      <c r="E58" s="296">
        <f>E57+481+52212</f>
        <v>62548</v>
      </c>
      <c r="F58" s="296">
        <f>F57+335+46545</f>
        <v>57951</v>
      </c>
      <c r="G58" s="296">
        <f>G57+449+44361</f>
        <v>59911</v>
      </c>
      <c r="H58" s="296"/>
      <c r="I58" s="296">
        <f>I57+3683+37540+23+964</f>
        <v>59234</v>
      </c>
      <c r="J58" s="296">
        <f>J57+3477+36393+13+1091</f>
        <v>59075</v>
      </c>
      <c r="K58" s="296"/>
      <c r="L58" s="296">
        <f>L57+3157+37140+24</f>
        <v>62406</v>
      </c>
      <c r="M58" s="296">
        <f>M57+3090+34665+29</f>
        <v>59039</v>
      </c>
      <c r="N58" s="296">
        <f>N57+2960+33273+22</f>
        <v>57992</v>
      </c>
      <c r="O58" s="296"/>
      <c r="P58" s="296">
        <f>P57+2548+26013+294+3506+9+78+5+61+20+871</f>
        <v>64642</v>
      </c>
      <c r="Q58" s="296">
        <f>Q57+2054+21123+182+2478+9+101+8+66+31+624</f>
        <v>50731</v>
      </c>
      <c r="R58" s="296">
        <f>R57+2037+21181+274+2708+10+102+9+49+16+25+616</f>
        <v>65514</v>
      </c>
    </row>
    <row r="61" spans="3:18" ht="18" customHeight="1">
      <c r="C61" s="282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303" t="s">
        <v>451</v>
      </c>
    </row>
    <row r="62" spans="3:18"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279" t="s">
        <v>307</v>
      </c>
    </row>
    <row r="63" spans="3:18" ht="30" customHeight="1">
      <c r="C63" s="1430" t="s">
        <v>585</v>
      </c>
      <c r="D63" s="1432" t="s">
        <v>572</v>
      </c>
      <c r="E63" s="1432" t="s">
        <v>573</v>
      </c>
      <c r="F63" s="1432" t="s">
        <v>574</v>
      </c>
      <c r="G63" s="1432" t="s">
        <v>586</v>
      </c>
      <c r="H63" s="1434" t="s">
        <v>587</v>
      </c>
      <c r="I63" s="1432" t="s">
        <v>576</v>
      </c>
      <c r="J63" s="1432" t="s">
        <v>577</v>
      </c>
      <c r="K63" s="1434" t="s">
        <v>587</v>
      </c>
      <c r="L63" s="1432" t="s">
        <v>434</v>
      </c>
      <c r="M63" s="1432" t="s">
        <v>435</v>
      </c>
      <c r="N63" s="1432" t="s">
        <v>436</v>
      </c>
      <c r="O63" s="1434" t="s">
        <v>588</v>
      </c>
      <c r="P63" s="1426" t="s">
        <v>437</v>
      </c>
      <c r="Q63" s="1426" t="s">
        <v>438</v>
      </c>
      <c r="R63" s="1428" t="s">
        <v>578</v>
      </c>
    </row>
    <row r="64" spans="3:18" ht="20.25" customHeight="1">
      <c r="C64" s="1431"/>
      <c r="D64" s="1433"/>
      <c r="E64" s="1433"/>
      <c r="F64" s="1433"/>
      <c r="G64" s="1433"/>
      <c r="H64" s="1435"/>
      <c r="I64" s="1433"/>
      <c r="J64" s="1433"/>
      <c r="K64" s="1435"/>
      <c r="L64" s="1433"/>
      <c r="M64" s="1433"/>
      <c r="N64" s="1433"/>
      <c r="O64" s="1435"/>
      <c r="P64" s="1427"/>
      <c r="Q64" s="1427"/>
      <c r="R64" s="1429"/>
    </row>
    <row r="65" spans="3:18">
      <c r="C65" s="283" t="s">
        <v>589</v>
      </c>
      <c r="D65" s="284">
        <v>2756</v>
      </c>
      <c r="E65" s="284">
        <v>9362</v>
      </c>
      <c r="F65" s="284">
        <v>10070</v>
      </c>
      <c r="G65" s="284">
        <v>11490</v>
      </c>
      <c r="H65" s="285"/>
      <c r="I65" s="284">
        <v>14665</v>
      </c>
      <c r="J65" s="284">
        <v>14582</v>
      </c>
      <c r="K65" s="285"/>
      <c r="L65" s="284">
        <v>15487</v>
      </c>
      <c r="M65" s="284">
        <v>13234</v>
      </c>
      <c r="N65" s="284">
        <v>11238</v>
      </c>
      <c r="O65" s="285"/>
      <c r="P65" s="284">
        <v>12480</v>
      </c>
      <c r="Q65" s="284">
        <v>9467</v>
      </c>
      <c r="R65" s="284">
        <v>11767</v>
      </c>
    </row>
    <row r="66" spans="3:18">
      <c r="C66" s="283" t="s">
        <v>590</v>
      </c>
      <c r="D66" s="284">
        <v>267</v>
      </c>
      <c r="E66" s="284">
        <v>1912</v>
      </c>
      <c r="F66" s="284">
        <v>3000</v>
      </c>
      <c r="G66" s="284">
        <v>4657</v>
      </c>
      <c r="H66" s="285"/>
      <c r="I66" s="284">
        <v>7080</v>
      </c>
      <c r="J66" s="284">
        <v>7983</v>
      </c>
      <c r="K66" s="285"/>
      <c r="L66" s="284">
        <v>10247</v>
      </c>
      <c r="M66" s="284">
        <v>7602</v>
      </c>
      <c r="N66" s="284">
        <v>5872</v>
      </c>
      <c r="O66" s="285"/>
      <c r="P66" s="284">
        <v>10240</v>
      </c>
      <c r="Q66" s="284">
        <v>6711</v>
      </c>
      <c r="R66" s="284">
        <v>7927</v>
      </c>
    </row>
    <row r="67" spans="3:18">
      <c r="C67" s="286" t="s">
        <v>591</v>
      </c>
      <c r="D67" s="287">
        <v>130</v>
      </c>
      <c r="E67" s="287">
        <v>465</v>
      </c>
      <c r="F67" s="287">
        <v>848</v>
      </c>
      <c r="G67" s="287">
        <v>1552</v>
      </c>
      <c r="H67" s="285"/>
      <c r="I67" s="287">
        <v>3591</v>
      </c>
      <c r="J67" s="287">
        <v>4594</v>
      </c>
      <c r="K67" s="285"/>
      <c r="L67" s="287">
        <v>5048</v>
      </c>
      <c r="M67" s="287">
        <v>3121</v>
      </c>
      <c r="N67" s="287">
        <v>2343</v>
      </c>
      <c r="O67" s="285"/>
      <c r="P67" s="287">
        <v>4218</v>
      </c>
      <c r="Q67" s="287">
        <v>3110</v>
      </c>
      <c r="R67" s="287">
        <v>3916</v>
      </c>
    </row>
    <row r="68" spans="3:18">
      <c r="C68" s="286" t="s">
        <v>592</v>
      </c>
      <c r="D68" s="287">
        <v>57</v>
      </c>
      <c r="E68" s="287">
        <v>225</v>
      </c>
      <c r="F68" s="287">
        <v>254</v>
      </c>
      <c r="G68" s="287">
        <v>431</v>
      </c>
      <c r="H68" s="285"/>
      <c r="I68" s="287">
        <v>1762</v>
      </c>
      <c r="J68" s="287">
        <v>1668</v>
      </c>
      <c r="K68" s="285"/>
      <c r="L68" s="287">
        <v>1523</v>
      </c>
      <c r="M68" s="287">
        <v>898</v>
      </c>
      <c r="N68" s="287">
        <v>501</v>
      </c>
      <c r="O68" s="285"/>
      <c r="P68" s="287">
        <v>1471</v>
      </c>
      <c r="Q68" s="287">
        <v>1273</v>
      </c>
      <c r="R68" s="287">
        <v>1498</v>
      </c>
    </row>
    <row r="69" spans="3:18">
      <c r="C69" s="286" t="s">
        <v>593</v>
      </c>
      <c r="D69" s="287">
        <v>44</v>
      </c>
      <c r="E69" s="287">
        <v>242</v>
      </c>
      <c r="F69" s="287">
        <v>191</v>
      </c>
      <c r="G69" s="287">
        <v>287</v>
      </c>
      <c r="H69" s="285"/>
      <c r="I69" s="287">
        <v>663</v>
      </c>
      <c r="J69" s="287">
        <v>454</v>
      </c>
      <c r="K69" s="285"/>
      <c r="L69" s="287">
        <v>325</v>
      </c>
      <c r="M69" s="287">
        <v>200</v>
      </c>
      <c r="N69" s="287">
        <v>113</v>
      </c>
      <c r="O69" s="285"/>
      <c r="P69" s="287">
        <v>1100</v>
      </c>
      <c r="Q69" s="287">
        <v>897</v>
      </c>
      <c r="R69" s="287">
        <v>1191</v>
      </c>
    </row>
    <row r="70" spans="3:18">
      <c r="C70" s="288" t="s">
        <v>594</v>
      </c>
      <c r="D70" s="289">
        <v>231</v>
      </c>
      <c r="E70" s="289">
        <v>932</v>
      </c>
      <c r="F70" s="289">
        <v>1293</v>
      </c>
      <c r="G70" s="289">
        <v>2270</v>
      </c>
      <c r="H70" s="290"/>
      <c r="I70" s="289">
        <v>6016</v>
      </c>
      <c r="J70" s="289">
        <v>6716</v>
      </c>
      <c r="K70" s="291"/>
      <c r="L70" s="289">
        <v>6896</v>
      </c>
      <c r="M70" s="289">
        <v>4219</v>
      </c>
      <c r="N70" s="289">
        <v>2957</v>
      </c>
      <c r="O70" s="291"/>
      <c r="P70" s="289">
        <v>6789</v>
      </c>
      <c r="Q70" s="289">
        <v>5280</v>
      </c>
      <c r="R70" s="289">
        <v>6605</v>
      </c>
    </row>
    <row r="71" spans="3:18" ht="6.75" customHeight="1">
      <c r="C71" s="286"/>
      <c r="D71" s="287"/>
      <c r="E71" s="287"/>
      <c r="F71" s="287"/>
      <c r="G71" s="287"/>
      <c r="H71" s="285"/>
      <c r="I71" s="287"/>
      <c r="J71" s="287"/>
      <c r="K71" s="285"/>
      <c r="L71" s="287"/>
      <c r="M71" s="287"/>
      <c r="N71" s="287"/>
      <c r="O71" s="285"/>
      <c r="P71" s="287"/>
      <c r="Q71" s="287"/>
      <c r="R71" s="287"/>
    </row>
    <row r="72" spans="3:18">
      <c r="C72" s="292" t="s">
        <v>595</v>
      </c>
      <c r="D72" s="293">
        <v>3254</v>
      </c>
      <c r="E72" s="293">
        <v>12206</v>
      </c>
      <c r="F72" s="293">
        <v>14363</v>
      </c>
      <c r="G72" s="293">
        <v>18417</v>
      </c>
      <c r="H72" s="294"/>
      <c r="I72" s="293">
        <v>27761</v>
      </c>
      <c r="J72" s="293">
        <v>29281</v>
      </c>
      <c r="K72" s="294"/>
      <c r="L72" s="293">
        <v>32630</v>
      </c>
      <c r="M72" s="293">
        <v>25055</v>
      </c>
      <c r="N72" s="293">
        <v>20067</v>
      </c>
      <c r="O72" s="294"/>
      <c r="P72" s="293">
        <v>29509</v>
      </c>
      <c r="Q72" s="293">
        <v>21458</v>
      </c>
      <c r="R72" s="293">
        <v>26299</v>
      </c>
    </row>
    <row r="73" spans="3:18" ht="17.25" customHeight="1">
      <c r="C73" s="295" t="s">
        <v>596</v>
      </c>
      <c r="D73" s="296">
        <v>56248</v>
      </c>
      <c r="E73" s="296">
        <v>64387</v>
      </c>
      <c r="F73" s="296">
        <v>58887</v>
      </c>
      <c r="G73" s="296">
        <v>59522</v>
      </c>
      <c r="H73" s="297"/>
      <c r="I73" s="296">
        <v>65086</v>
      </c>
      <c r="J73" s="296">
        <v>65142</v>
      </c>
      <c r="K73" s="297"/>
      <c r="L73" s="296">
        <v>66197</v>
      </c>
      <c r="M73" s="296">
        <v>55536</v>
      </c>
      <c r="N73" s="296">
        <v>46847</v>
      </c>
      <c r="O73" s="297"/>
      <c r="P73" s="296">
        <v>52559</v>
      </c>
      <c r="Q73" s="296">
        <v>38830</v>
      </c>
      <c r="R73" s="296">
        <v>42033</v>
      </c>
    </row>
    <row r="75" spans="3:18" ht="15.75">
      <c r="C75" s="28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281" t="s">
        <v>308</v>
      </c>
    </row>
    <row r="76" spans="3:18" ht="30" customHeight="1">
      <c r="C76" s="1430" t="s">
        <v>585</v>
      </c>
      <c r="D76" s="1432" t="s">
        <v>572</v>
      </c>
      <c r="E76" s="1432" t="s">
        <v>573</v>
      </c>
      <c r="F76" s="1432" t="s">
        <v>574</v>
      </c>
      <c r="G76" s="1432" t="s">
        <v>586</v>
      </c>
      <c r="H76" s="1434" t="s">
        <v>587</v>
      </c>
      <c r="I76" s="1432" t="s">
        <v>576</v>
      </c>
      <c r="J76" s="1432" t="s">
        <v>577</v>
      </c>
      <c r="K76" s="1434" t="s">
        <v>587</v>
      </c>
      <c r="L76" s="1432" t="s">
        <v>434</v>
      </c>
      <c r="M76" s="1432" t="s">
        <v>435</v>
      </c>
      <c r="N76" s="1432" t="s">
        <v>436</v>
      </c>
      <c r="O76" s="1434" t="s">
        <v>588</v>
      </c>
      <c r="P76" s="1426" t="s">
        <v>437</v>
      </c>
      <c r="Q76" s="1426" t="s">
        <v>438</v>
      </c>
      <c r="R76" s="1428" t="s">
        <v>578</v>
      </c>
    </row>
    <row r="77" spans="3:18" ht="20.25" customHeight="1">
      <c r="C77" s="1431"/>
      <c r="D77" s="1433"/>
      <c r="E77" s="1433"/>
      <c r="F77" s="1433"/>
      <c r="G77" s="1433"/>
      <c r="H77" s="1435"/>
      <c r="I77" s="1433"/>
      <c r="J77" s="1433"/>
      <c r="K77" s="1435"/>
      <c r="L77" s="1433"/>
      <c r="M77" s="1433"/>
      <c r="N77" s="1433"/>
      <c r="O77" s="1435"/>
      <c r="P77" s="1427"/>
      <c r="Q77" s="1427"/>
      <c r="R77" s="1429"/>
    </row>
    <row r="78" spans="3:18">
      <c r="C78" s="283" t="s">
        <v>589</v>
      </c>
      <c r="D78" s="284">
        <v>2185</v>
      </c>
      <c r="E78" s="284">
        <v>7046</v>
      </c>
      <c r="F78" s="284">
        <f>7704</f>
        <v>7704</v>
      </c>
      <c r="G78" s="284">
        <v>9197</v>
      </c>
      <c r="H78" s="298"/>
      <c r="I78" s="284">
        <f>11325+26</f>
        <v>11351</v>
      </c>
      <c r="J78" s="284">
        <f>11767+71</f>
        <v>11838</v>
      </c>
      <c r="K78" s="298"/>
      <c r="L78" s="284">
        <f>12958+39</f>
        <v>12997</v>
      </c>
      <c r="M78" s="284">
        <f>12345+27</f>
        <v>12372</v>
      </c>
      <c r="N78" s="284">
        <f>10685+45</f>
        <v>10730</v>
      </c>
      <c r="O78" s="298"/>
      <c r="P78" s="284">
        <f>7877+3149+2+86+1407</f>
        <v>12521</v>
      </c>
      <c r="Q78" s="284">
        <f>7620+1720+20+33+1380</f>
        <v>10773</v>
      </c>
      <c r="R78" s="284">
        <f>10950+1956+33+49+1180</f>
        <v>14168</v>
      </c>
    </row>
    <row r="79" spans="3:18">
      <c r="C79" s="283" t="s">
        <v>590</v>
      </c>
      <c r="D79" s="284">
        <v>268</v>
      </c>
      <c r="E79" s="284">
        <v>1192</v>
      </c>
      <c r="F79" s="284">
        <v>1939</v>
      </c>
      <c r="G79" s="284">
        <v>2966</v>
      </c>
      <c r="H79" s="298"/>
      <c r="I79" s="284">
        <f>4272+11</f>
        <v>4283</v>
      </c>
      <c r="J79" s="284">
        <f>4815+35</f>
        <v>4850</v>
      </c>
      <c r="K79" s="298"/>
      <c r="L79" s="284">
        <f>6714+54</f>
        <v>6768</v>
      </c>
      <c r="M79" s="284">
        <f>5421+48</f>
        <v>5469</v>
      </c>
      <c r="N79" s="284">
        <f>4470+44</f>
        <v>4514</v>
      </c>
      <c r="O79" s="298"/>
      <c r="P79" s="284">
        <f>4131+3015+48+1298</f>
        <v>8492</v>
      </c>
      <c r="Q79" s="284">
        <f>3799+1262+10+20+1241</f>
        <v>6332</v>
      </c>
      <c r="R79" s="284">
        <f>5814+1170+8+41+1080</f>
        <v>8113</v>
      </c>
    </row>
    <row r="80" spans="3:18">
      <c r="C80" s="286" t="s">
        <v>591</v>
      </c>
      <c r="D80" s="287">
        <v>121</v>
      </c>
      <c r="E80" s="287">
        <v>325</v>
      </c>
      <c r="F80" s="287">
        <v>570</v>
      </c>
      <c r="G80" s="287">
        <v>922</v>
      </c>
      <c r="H80" s="298"/>
      <c r="I80" s="287">
        <f>1798+8</f>
        <v>1806</v>
      </c>
      <c r="J80" s="287">
        <f>2143+13</f>
        <v>2156</v>
      </c>
      <c r="K80" s="298"/>
      <c r="L80" s="287">
        <f>2795+67</f>
        <v>2862</v>
      </c>
      <c r="M80" s="287">
        <f>2017+56</f>
        <v>2073</v>
      </c>
      <c r="N80" s="287">
        <f>1604+33</f>
        <v>1637</v>
      </c>
      <c r="O80" s="298"/>
      <c r="P80" s="287">
        <f>1250+1156+21+794</f>
        <v>3221</v>
      </c>
      <c r="Q80" s="287">
        <f>1412+603+3+28+714</f>
        <v>2760</v>
      </c>
      <c r="R80" s="287">
        <f>2214+622+3+15+782</f>
        <v>3636</v>
      </c>
    </row>
    <row r="81" spans="3:18">
      <c r="C81" s="286" t="s">
        <v>592</v>
      </c>
      <c r="D81" s="287">
        <v>48</v>
      </c>
      <c r="E81" s="287">
        <v>164</v>
      </c>
      <c r="F81" s="287">
        <v>207</v>
      </c>
      <c r="G81" s="287">
        <v>327</v>
      </c>
      <c r="H81" s="298"/>
      <c r="I81" s="287">
        <f>752+1</f>
        <v>753</v>
      </c>
      <c r="J81" s="287">
        <f>708+10</f>
        <v>718</v>
      </c>
      <c r="K81" s="298"/>
      <c r="L81" s="287">
        <f>853+57</f>
        <v>910</v>
      </c>
      <c r="M81" s="287">
        <f>559+23</f>
        <v>582</v>
      </c>
      <c r="N81" s="287">
        <f>384+29</f>
        <v>413</v>
      </c>
      <c r="O81" s="298"/>
      <c r="P81" s="287">
        <f>384+406+7+413</f>
        <v>1210</v>
      </c>
      <c r="Q81" s="287">
        <f>382+315+1+7+339</f>
        <v>1044</v>
      </c>
      <c r="R81" s="287">
        <f>712+192+1+6+371</f>
        <v>1282</v>
      </c>
    </row>
    <row r="82" spans="3:18">
      <c r="C82" s="286" t="s">
        <v>593</v>
      </c>
      <c r="D82" s="287">
        <f>23+9+9+7</f>
        <v>48</v>
      </c>
      <c r="E82" s="287">
        <f>78+51+37+17</f>
        <v>183</v>
      </c>
      <c r="F82" s="287">
        <f>93+50+14+4</f>
        <v>161</v>
      </c>
      <c r="G82" s="287">
        <f>144+59</f>
        <v>203</v>
      </c>
      <c r="H82" s="298"/>
      <c r="I82" s="287">
        <f>231+40+7+3+2</f>
        <v>283</v>
      </c>
      <c r="J82" s="287">
        <f>183+35+9+6+1</f>
        <v>234</v>
      </c>
      <c r="K82" s="298"/>
      <c r="L82" s="287">
        <f>152+37+2+13+3+1</f>
        <v>208</v>
      </c>
      <c r="M82" s="287">
        <f>111+25+2+1</f>
        <v>139</v>
      </c>
      <c r="N82" s="287">
        <f>84+4</f>
        <v>88</v>
      </c>
      <c r="O82" s="298"/>
      <c r="P82" s="287">
        <f>105+36+18+3+1+6+119+42+13+6+4+1+2+206+83+41+14+14+4</f>
        <v>718</v>
      </c>
      <c r="Q82" s="287">
        <f>105+49+17+9+15+86+56+19+4+5+5+1+1+1+142+65+23+10+10+1+1+1+3</f>
        <v>629</v>
      </c>
      <c r="R82" s="287">
        <f>251+55+36+57+92+37+13+12+6+2+1+171+69+38+14+10+3+2+2</f>
        <v>871</v>
      </c>
    </row>
    <row r="83" spans="3:18">
      <c r="C83" s="288" t="s">
        <v>594</v>
      </c>
      <c r="D83" s="299">
        <f>D80+D81+D82</f>
        <v>217</v>
      </c>
      <c r="E83" s="299">
        <f>E80+E81+E82</f>
        <v>672</v>
      </c>
      <c r="F83" s="299">
        <f>F80+F81+F82</f>
        <v>938</v>
      </c>
      <c r="G83" s="299">
        <f>G80+G81+G82</f>
        <v>1452</v>
      </c>
      <c r="H83" s="300"/>
      <c r="I83" s="289">
        <f>I80+I81+I82</f>
        <v>2842</v>
      </c>
      <c r="J83" s="289">
        <f>J80+J81</f>
        <v>2874</v>
      </c>
      <c r="K83" s="301"/>
      <c r="L83" s="289">
        <f>L80+L81+L82</f>
        <v>3980</v>
      </c>
      <c r="M83" s="289">
        <f>M80+M81+M82</f>
        <v>2794</v>
      </c>
      <c r="N83" s="289">
        <f>N80+N81+N82</f>
        <v>2138</v>
      </c>
      <c r="O83" s="301"/>
      <c r="P83" s="289">
        <f>P80+P81+P82</f>
        <v>5149</v>
      </c>
      <c r="Q83" s="289">
        <f>Q80+Q81+Q82</f>
        <v>4433</v>
      </c>
      <c r="R83" s="289">
        <f>R80+R81+R82</f>
        <v>5789</v>
      </c>
    </row>
    <row r="84" spans="3:18" ht="6.75" customHeight="1">
      <c r="C84" s="286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</row>
    <row r="85" spans="3:18">
      <c r="C85" s="292" t="s">
        <v>595</v>
      </c>
      <c r="D85" s="293">
        <f>SUM(D78:D82)</f>
        <v>2670</v>
      </c>
      <c r="E85" s="293">
        <f t="shared" ref="E85:R85" si="2">SUM(E78:E82)</f>
        <v>8910</v>
      </c>
      <c r="F85" s="293">
        <f t="shared" si="2"/>
        <v>10581</v>
      </c>
      <c r="G85" s="293">
        <f t="shared" si="2"/>
        <v>13615</v>
      </c>
      <c r="H85" s="293"/>
      <c r="I85" s="293">
        <f t="shared" si="2"/>
        <v>18476</v>
      </c>
      <c r="J85" s="293">
        <f t="shared" si="2"/>
        <v>19796</v>
      </c>
      <c r="K85" s="293"/>
      <c r="L85" s="293">
        <f t="shared" si="2"/>
        <v>23745</v>
      </c>
      <c r="M85" s="293">
        <f t="shared" si="2"/>
        <v>20635</v>
      </c>
      <c r="N85" s="293">
        <f t="shared" si="2"/>
        <v>17382</v>
      </c>
      <c r="O85" s="293"/>
      <c r="P85" s="293">
        <f t="shared" si="2"/>
        <v>26162</v>
      </c>
      <c r="Q85" s="293">
        <f t="shared" si="2"/>
        <v>21538</v>
      </c>
      <c r="R85" s="293">
        <f t="shared" si="2"/>
        <v>28070</v>
      </c>
    </row>
    <row r="86" spans="3:18" ht="17.25" customHeight="1">
      <c r="C86" s="295" t="s">
        <v>596</v>
      </c>
      <c r="D86" s="296">
        <f>D85+1559+49246</f>
        <v>53475</v>
      </c>
      <c r="E86" s="296">
        <f>E85+1076+49056</f>
        <v>59042</v>
      </c>
      <c r="F86" s="296">
        <f>F85+1038+43026</f>
        <v>54645</v>
      </c>
      <c r="G86" s="296">
        <f>G85+926+39755</f>
        <v>54296</v>
      </c>
      <c r="H86" s="296"/>
      <c r="I86" s="296">
        <f>I85+5093+32460+5+57</f>
        <v>56091</v>
      </c>
      <c r="J86" s="296">
        <f>J85+5243+33243+13+138</f>
        <v>58433</v>
      </c>
      <c r="K86" s="296"/>
      <c r="L86" s="296">
        <f>L85+4713+32822+1+32</f>
        <v>61313</v>
      </c>
      <c r="M86" s="296">
        <f>M85+4541+30701+30</f>
        <v>55907</v>
      </c>
      <c r="N86" s="296">
        <f>N85+4167+28407+16</f>
        <v>49972</v>
      </c>
      <c r="O86" s="296"/>
      <c r="P86" s="296">
        <f>P85+3156+21061+480+3392+16+244+33+928</f>
        <v>55472</v>
      </c>
      <c r="Q86" s="296">
        <f>Q85+1971+19053+188+1914+6+99+3+50+33+875</f>
        <v>45730</v>
      </c>
      <c r="R86" s="296">
        <f>R85+1561+18134+135+1859+11+89+7+49+44+803</f>
        <v>50762</v>
      </c>
    </row>
    <row r="89" spans="3:18" ht="18" customHeight="1">
      <c r="C89" s="282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303" t="s">
        <v>454</v>
      </c>
    </row>
    <row r="90" spans="3:18"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R90" s="279" t="s">
        <v>307</v>
      </c>
    </row>
    <row r="91" spans="3:18" ht="30" customHeight="1">
      <c r="C91" s="1430" t="s">
        <v>585</v>
      </c>
      <c r="D91" s="1432" t="s">
        <v>572</v>
      </c>
      <c r="E91" s="1432" t="s">
        <v>573</v>
      </c>
      <c r="F91" s="1432" t="s">
        <v>574</v>
      </c>
      <c r="G91" s="1432" t="s">
        <v>586</v>
      </c>
      <c r="H91" s="1434" t="s">
        <v>587</v>
      </c>
      <c r="I91" s="1432" t="s">
        <v>576</v>
      </c>
      <c r="J91" s="1432" t="s">
        <v>577</v>
      </c>
      <c r="K91" s="1434" t="s">
        <v>587</v>
      </c>
      <c r="L91" s="1432" t="s">
        <v>434</v>
      </c>
      <c r="M91" s="1432" t="s">
        <v>435</v>
      </c>
      <c r="N91" s="1432" t="s">
        <v>436</v>
      </c>
      <c r="O91" s="1434" t="s">
        <v>588</v>
      </c>
      <c r="P91" s="1426" t="s">
        <v>437</v>
      </c>
      <c r="Q91" s="1426" t="s">
        <v>438</v>
      </c>
      <c r="R91" s="1428" t="s">
        <v>578</v>
      </c>
    </row>
    <row r="92" spans="3:18" ht="20.25" customHeight="1">
      <c r="C92" s="1431"/>
      <c r="D92" s="1433"/>
      <c r="E92" s="1433"/>
      <c r="F92" s="1433"/>
      <c r="G92" s="1433"/>
      <c r="H92" s="1435"/>
      <c r="I92" s="1433"/>
      <c r="J92" s="1433"/>
      <c r="K92" s="1435"/>
      <c r="L92" s="1433"/>
      <c r="M92" s="1433"/>
      <c r="N92" s="1433"/>
      <c r="O92" s="1435"/>
      <c r="P92" s="1427"/>
      <c r="Q92" s="1427"/>
      <c r="R92" s="1429"/>
    </row>
    <row r="93" spans="3:18">
      <c r="C93" s="283" t="s">
        <v>589</v>
      </c>
      <c r="D93" s="284">
        <v>1425</v>
      </c>
      <c r="E93" s="284">
        <v>8515</v>
      </c>
      <c r="F93" s="284">
        <v>8905</v>
      </c>
      <c r="G93" s="284">
        <v>11004</v>
      </c>
      <c r="H93" s="285"/>
      <c r="I93" s="284">
        <v>12275</v>
      </c>
      <c r="J93" s="284">
        <v>11811</v>
      </c>
      <c r="K93" s="285"/>
      <c r="L93" s="284">
        <v>13106</v>
      </c>
      <c r="M93" s="284">
        <v>11654</v>
      </c>
      <c r="N93" s="284">
        <v>11043</v>
      </c>
      <c r="O93" s="285"/>
      <c r="P93" s="284">
        <v>12227</v>
      </c>
      <c r="Q93" s="284">
        <v>9101</v>
      </c>
      <c r="R93" s="284">
        <v>9227</v>
      </c>
    </row>
    <row r="94" spans="3:18">
      <c r="C94" s="283" t="s">
        <v>590</v>
      </c>
      <c r="D94" s="284">
        <v>436</v>
      </c>
      <c r="E94" s="284">
        <v>1294</v>
      </c>
      <c r="F94" s="284">
        <v>2040</v>
      </c>
      <c r="G94" s="284">
        <v>3374</v>
      </c>
      <c r="H94" s="285"/>
      <c r="I94" s="284">
        <v>5718</v>
      </c>
      <c r="J94" s="284">
        <v>7023</v>
      </c>
      <c r="K94" s="285"/>
      <c r="L94" s="284">
        <v>8788</v>
      </c>
      <c r="M94" s="284">
        <v>6280</v>
      </c>
      <c r="N94" s="284">
        <v>5886</v>
      </c>
      <c r="O94" s="285"/>
      <c r="P94" s="284">
        <v>8421</v>
      </c>
      <c r="Q94" s="284">
        <v>5888</v>
      </c>
      <c r="R94" s="284">
        <v>5011</v>
      </c>
    </row>
    <row r="95" spans="3:18">
      <c r="C95" s="286" t="s">
        <v>591</v>
      </c>
      <c r="D95" s="287">
        <v>180</v>
      </c>
      <c r="E95" s="287">
        <v>277</v>
      </c>
      <c r="F95" s="287">
        <v>469</v>
      </c>
      <c r="G95" s="287">
        <v>925</v>
      </c>
      <c r="H95" s="285"/>
      <c r="I95" s="287">
        <v>2555</v>
      </c>
      <c r="J95" s="287">
        <v>3754</v>
      </c>
      <c r="K95" s="285"/>
      <c r="L95" s="287">
        <v>3434</v>
      </c>
      <c r="M95" s="287">
        <v>2248</v>
      </c>
      <c r="N95" s="287">
        <v>2311</v>
      </c>
      <c r="O95" s="285"/>
      <c r="P95" s="287">
        <v>4387</v>
      </c>
      <c r="Q95" s="287">
        <v>2856</v>
      </c>
      <c r="R95" s="287">
        <v>2192</v>
      </c>
    </row>
    <row r="96" spans="3:18">
      <c r="C96" s="286" t="s">
        <v>592</v>
      </c>
      <c r="D96" s="287">
        <v>100</v>
      </c>
      <c r="E96" s="287">
        <v>132</v>
      </c>
      <c r="F96" s="287">
        <v>178</v>
      </c>
      <c r="G96" s="287">
        <v>349</v>
      </c>
      <c r="H96" s="285"/>
      <c r="I96" s="287">
        <v>1233</v>
      </c>
      <c r="J96" s="287">
        <v>1505</v>
      </c>
      <c r="K96" s="285"/>
      <c r="L96" s="287">
        <v>944</v>
      </c>
      <c r="M96" s="287">
        <v>537</v>
      </c>
      <c r="N96" s="287">
        <v>591</v>
      </c>
      <c r="O96" s="285"/>
      <c r="P96" s="287">
        <v>1839</v>
      </c>
      <c r="Q96" s="287">
        <v>1167</v>
      </c>
      <c r="R96" s="287">
        <v>982</v>
      </c>
    </row>
    <row r="97" spans="3:18">
      <c r="C97" s="286" t="s">
        <v>593</v>
      </c>
      <c r="D97" s="287">
        <v>149</v>
      </c>
      <c r="E97" s="287">
        <v>254</v>
      </c>
      <c r="F97" s="287">
        <v>230</v>
      </c>
      <c r="G97" s="287">
        <v>358</v>
      </c>
      <c r="H97" s="285"/>
      <c r="I97" s="287">
        <v>615</v>
      </c>
      <c r="J97" s="287">
        <v>674</v>
      </c>
      <c r="K97" s="285"/>
      <c r="L97" s="287">
        <v>289</v>
      </c>
      <c r="M97" s="287">
        <v>136</v>
      </c>
      <c r="N97" s="287">
        <v>101</v>
      </c>
      <c r="O97" s="285"/>
      <c r="P97" s="287">
        <v>1590</v>
      </c>
      <c r="Q97" s="287">
        <v>966</v>
      </c>
      <c r="R97" s="287">
        <v>881</v>
      </c>
    </row>
    <row r="98" spans="3:18">
      <c r="C98" s="288" t="s">
        <v>594</v>
      </c>
      <c r="D98" s="289">
        <v>429</v>
      </c>
      <c r="E98" s="289">
        <v>663</v>
      </c>
      <c r="F98" s="289">
        <v>877</v>
      </c>
      <c r="G98" s="289">
        <v>1632</v>
      </c>
      <c r="H98" s="290"/>
      <c r="I98" s="289">
        <v>4403</v>
      </c>
      <c r="J98" s="289">
        <v>5933</v>
      </c>
      <c r="K98" s="291"/>
      <c r="L98" s="289">
        <v>4667</v>
      </c>
      <c r="M98" s="289">
        <v>2921</v>
      </c>
      <c r="N98" s="289">
        <v>3003</v>
      </c>
      <c r="O98" s="291"/>
      <c r="P98" s="289">
        <v>7816</v>
      </c>
      <c r="Q98" s="289">
        <v>4989</v>
      </c>
      <c r="R98" s="289">
        <v>4055</v>
      </c>
    </row>
    <row r="99" spans="3:18" ht="6.75" customHeight="1">
      <c r="C99" s="286"/>
      <c r="D99" s="287"/>
      <c r="E99" s="287"/>
      <c r="F99" s="287"/>
      <c r="G99" s="287"/>
      <c r="H99" s="285"/>
      <c r="I99" s="287"/>
      <c r="J99" s="287"/>
      <c r="K99" s="285"/>
      <c r="L99" s="287"/>
      <c r="M99" s="287"/>
      <c r="N99" s="287"/>
      <c r="O99" s="285"/>
      <c r="P99" s="287"/>
      <c r="Q99" s="287"/>
      <c r="R99" s="287"/>
    </row>
    <row r="100" spans="3:18">
      <c r="C100" s="292" t="s">
        <v>595</v>
      </c>
      <c r="D100" s="293">
        <v>2290</v>
      </c>
      <c r="E100" s="293">
        <v>10472</v>
      </c>
      <c r="F100" s="293">
        <v>11822</v>
      </c>
      <c r="G100" s="293">
        <v>16010</v>
      </c>
      <c r="H100" s="294"/>
      <c r="I100" s="293">
        <v>22396</v>
      </c>
      <c r="J100" s="293">
        <v>24767</v>
      </c>
      <c r="K100" s="294"/>
      <c r="L100" s="293">
        <v>26561</v>
      </c>
      <c r="M100" s="293">
        <v>20855</v>
      </c>
      <c r="N100" s="293">
        <v>19932</v>
      </c>
      <c r="O100" s="294"/>
      <c r="P100" s="293">
        <v>28464</v>
      </c>
      <c r="Q100" s="293">
        <v>19978</v>
      </c>
      <c r="R100" s="293">
        <v>18293</v>
      </c>
    </row>
    <row r="101" spans="3:18" ht="17.25" customHeight="1">
      <c r="C101" s="295" t="s">
        <v>596</v>
      </c>
      <c r="D101" s="296">
        <v>57364</v>
      </c>
      <c r="E101" s="296">
        <v>65037</v>
      </c>
      <c r="F101" s="296">
        <v>60385</v>
      </c>
      <c r="G101" s="296">
        <v>61987</v>
      </c>
      <c r="H101" s="297"/>
      <c r="I101" s="296">
        <v>65157</v>
      </c>
      <c r="J101" s="296">
        <v>63573</v>
      </c>
      <c r="K101" s="297"/>
      <c r="L101" s="296">
        <v>61640</v>
      </c>
      <c r="M101" s="296">
        <v>52047</v>
      </c>
      <c r="N101" s="296">
        <v>48791</v>
      </c>
      <c r="O101" s="297"/>
      <c r="P101" s="296">
        <v>53807</v>
      </c>
      <c r="Q101" s="296">
        <v>40709</v>
      </c>
      <c r="R101" s="296">
        <v>35973</v>
      </c>
    </row>
    <row r="103" spans="3:18" ht="15.75">
      <c r="C103" s="28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281" t="s">
        <v>308</v>
      </c>
    </row>
    <row r="104" spans="3:18" ht="30" customHeight="1">
      <c r="C104" s="1430" t="s">
        <v>585</v>
      </c>
      <c r="D104" s="1432" t="s">
        <v>572</v>
      </c>
      <c r="E104" s="1432" t="s">
        <v>573</v>
      </c>
      <c r="F104" s="1432" t="s">
        <v>574</v>
      </c>
      <c r="G104" s="1432" t="s">
        <v>586</v>
      </c>
      <c r="H104" s="1434" t="s">
        <v>587</v>
      </c>
      <c r="I104" s="1432" t="s">
        <v>576</v>
      </c>
      <c r="J104" s="1432" t="s">
        <v>577</v>
      </c>
      <c r="K104" s="1434" t="s">
        <v>587</v>
      </c>
      <c r="L104" s="1432" t="s">
        <v>434</v>
      </c>
      <c r="M104" s="1432" t="s">
        <v>435</v>
      </c>
      <c r="N104" s="1432" t="s">
        <v>436</v>
      </c>
      <c r="O104" s="1434" t="s">
        <v>588</v>
      </c>
      <c r="P104" s="1426" t="s">
        <v>437</v>
      </c>
      <c r="Q104" s="1426" t="s">
        <v>438</v>
      </c>
      <c r="R104" s="1428" t="s">
        <v>578</v>
      </c>
    </row>
    <row r="105" spans="3:18" ht="20.25" customHeight="1">
      <c r="C105" s="1431"/>
      <c r="D105" s="1433"/>
      <c r="E105" s="1433"/>
      <c r="F105" s="1433"/>
      <c r="G105" s="1433"/>
      <c r="H105" s="1435"/>
      <c r="I105" s="1433"/>
      <c r="J105" s="1433"/>
      <c r="K105" s="1435"/>
      <c r="L105" s="1433"/>
      <c r="M105" s="1433"/>
      <c r="N105" s="1433"/>
      <c r="O105" s="1435"/>
      <c r="P105" s="1427"/>
      <c r="Q105" s="1427"/>
      <c r="R105" s="1429"/>
    </row>
    <row r="106" spans="3:18">
      <c r="C106" s="283" t="s">
        <v>589</v>
      </c>
      <c r="D106" s="284">
        <v>824</v>
      </c>
      <c r="E106" s="284">
        <v>6023</v>
      </c>
      <c r="F106" s="284">
        <v>6657</v>
      </c>
      <c r="G106" s="284">
        <v>7921</v>
      </c>
      <c r="H106" s="298"/>
      <c r="I106" s="284">
        <v>8259</v>
      </c>
      <c r="J106" s="284">
        <v>8536</v>
      </c>
      <c r="K106" s="298"/>
      <c r="L106" s="284">
        <f>10298+7</f>
        <v>10305</v>
      </c>
      <c r="M106" s="284">
        <f>9698+8</f>
        <v>9706</v>
      </c>
      <c r="N106" s="284">
        <f>10112+50</f>
        <v>10162</v>
      </c>
      <c r="O106" s="298"/>
      <c r="P106" s="284">
        <f>6925+595+1+101+4063</f>
        <v>11685</v>
      </c>
      <c r="Q106" s="284">
        <f>6003+1121+4+84+2382</f>
        <v>9594</v>
      </c>
      <c r="R106" s="284">
        <f>7952+1580+4+97+1128</f>
        <v>10761</v>
      </c>
    </row>
    <row r="107" spans="3:18">
      <c r="C107" s="283" t="s">
        <v>590</v>
      </c>
      <c r="D107" s="284">
        <v>379</v>
      </c>
      <c r="E107" s="284">
        <v>870</v>
      </c>
      <c r="F107" s="284">
        <v>1348</v>
      </c>
      <c r="G107" s="284">
        <v>2104</v>
      </c>
      <c r="H107" s="298"/>
      <c r="I107" s="284">
        <f>3122+2</f>
        <v>3124</v>
      </c>
      <c r="J107" s="284">
        <f>3983+2</f>
        <v>3985</v>
      </c>
      <c r="K107" s="298"/>
      <c r="L107" s="284">
        <f>5809+10</f>
        <v>5819</v>
      </c>
      <c r="M107" s="284">
        <f>4696+3</f>
        <v>4699</v>
      </c>
      <c r="N107" s="284">
        <f>4900+28</f>
        <v>4928</v>
      </c>
      <c r="O107" s="298"/>
      <c r="P107" s="284">
        <f>2292+358+3+45+3882</f>
        <v>6580</v>
      </c>
      <c r="Q107" s="284">
        <f>2734+703+2+48+1915</f>
        <v>5402</v>
      </c>
      <c r="R107" s="284">
        <f>2569+921+1+52+1003</f>
        <v>4546</v>
      </c>
    </row>
    <row r="108" spans="3:18">
      <c r="C108" s="286" t="s">
        <v>591</v>
      </c>
      <c r="D108" s="287">
        <v>153</v>
      </c>
      <c r="E108" s="287">
        <v>213</v>
      </c>
      <c r="F108" s="287">
        <v>332</v>
      </c>
      <c r="G108" s="287">
        <v>593</v>
      </c>
      <c r="H108" s="298"/>
      <c r="I108" s="287">
        <v>1134</v>
      </c>
      <c r="J108" s="287">
        <f>1766+1</f>
        <v>1767</v>
      </c>
      <c r="K108" s="298"/>
      <c r="L108" s="287">
        <f>2134+21</f>
        <v>2155</v>
      </c>
      <c r="M108" s="287">
        <f>1544+7</f>
        <v>1551</v>
      </c>
      <c r="N108" s="287">
        <f>1787+25</f>
        <v>1812</v>
      </c>
      <c r="O108" s="298"/>
      <c r="P108" s="287">
        <f>696+163+15+2221</f>
        <v>3095</v>
      </c>
      <c r="Q108" s="287">
        <f>897+302+23+1116</f>
        <v>2338</v>
      </c>
      <c r="R108" s="287">
        <f>810+367+15+655</f>
        <v>1847</v>
      </c>
    </row>
    <row r="109" spans="3:18">
      <c r="C109" s="286" t="s">
        <v>592</v>
      </c>
      <c r="D109" s="287">
        <v>64</v>
      </c>
      <c r="E109" s="287">
        <v>111</v>
      </c>
      <c r="F109" s="287">
        <v>177</v>
      </c>
      <c r="G109" s="287">
        <v>214</v>
      </c>
      <c r="H109" s="298"/>
      <c r="I109" s="287">
        <v>612</v>
      </c>
      <c r="J109" s="287">
        <v>734</v>
      </c>
      <c r="K109" s="298"/>
      <c r="L109" s="287">
        <f>553+27</f>
        <v>580</v>
      </c>
      <c r="M109" s="287">
        <f>369+2</f>
        <v>371</v>
      </c>
      <c r="N109" s="287">
        <f>435+6</f>
        <v>441</v>
      </c>
      <c r="O109" s="298"/>
      <c r="P109" s="287">
        <f>218+63+2+974</f>
        <v>1257</v>
      </c>
      <c r="Q109" s="287">
        <f>253+135+5+524</f>
        <v>917</v>
      </c>
      <c r="R109" s="287">
        <f>258+110+10+420</f>
        <v>798</v>
      </c>
    </row>
    <row r="110" spans="3:18">
      <c r="C110" s="286" t="s">
        <v>593</v>
      </c>
      <c r="D110" s="287">
        <f>43+21+14+28</f>
        <v>106</v>
      </c>
      <c r="E110" s="287">
        <f>70+52+42+50</f>
        <v>214</v>
      </c>
      <c r="F110" s="287">
        <f>91+55+22+27</f>
        <v>195</v>
      </c>
      <c r="G110" s="287">
        <f>167+64+37+40</f>
        <v>308</v>
      </c>
      <c r="H110" s="298"/>
      <c r="I110" s="287">
        <f>240+77+16+5+11</f>
        <v>349</v>
      </c>
      <c r="J110" s="287">
        <f>257+81+10+5</f>
        <v>353</v>
      </c>
      <c r="K110" s="298"/>
      <c r="L110" s="287">
        <f>157+25+7+19+4+1</f>
        <v>213</v>
      </c>
      <c r="M110" s="287">
        <f>66+16+3+1</f>
        <v>86</v>
      </c>
      <c r="N110" s="287">
        <f>91+1+3</f>
        <v>95</v>
      </c>
      <c r="O110" s="298"/>
      <c r="P110" s="287">
        <f>61+24+14+3+3+12+14+4+2+1+1+2+501+253+100+74+60+80</f>
        <v>1209</v>
      </c>
      <c r="Q110" s="287">
        <f>58+21+3+7+35+13+1+1+3+284+140+75+48+63</f>
        <v>752</v>
      </c>
      <c r="R110" s="287">
        <f>76+31+8+8+25+10+1+2+2+1+242+108+61+85</f>
        <v>660</v>
      </c>
    </row>
    <row r="111" spans="3:18">
      <c r="C111" s="288" t="s">
        <v>594</v>
      </c>
      <c r="D111" s="289">
        <f>D108+D109+D110</f>
        <v>323</v>
      </c>
      <c r="E111" s="289">
        <f>E108+E109+E110</f>
        <v>538</v>
      </c>
      <c r="F111" s="289">
        <f>F108+F109+F110</f>
        <v>704</v>
      </c>
      <c r="G111" s="289">
        <f>G108+G109+G110</f>
        <v>1115</v>
      </c>
      <c r="H111" s="300"/>
      <c r="I111" s="289">
        <f>I108+I109+I110</f>
        <v>2095</v>
      </c>
      <c r="J111" s="289">
        <f>J108+J109+J110</f>
        <v>2854</v>
      </c>
      <c r="K111" s="301"/>
      <c r="L111" s="289">
        <f>L108+L109+L110</f>
        <v>2948</v>
      </c>
      <c r="M111" s="289">
        <f>M108+M109+M110</f>
        <v>2008</v>
      </c>
      <c r="N111" s="289">
        <f>N108+N109+N110</f>
        <v>2348</v>
      </c>
      <c r="O111" s="301"/>
      <c r="P111" s="289">
        <f>P108+P109+P110</f>
        <v>5561</v>
      </c>
      <c r="Q111" s="289">
        <f>Q108+Q109+Q110</f>
        <v>4007</v>
      </c>
      <c r="R111" s="289">
        <f>R108+R109+R110</f>
        <v>3305</v>
      </c>
    </row>
    <row r="112" spans="3:18" ht="6.75" customHeight="1">
      <c r="C112" s="286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</row>
    <row r="113" spans="3:18">
      <c r="C113" s="292" t="s">
        <v>595</v>
      </c>
      <c r="D113" s="293">
        <f>SUM(D106:D110)</f>
        <v>1526</v>
      </c>
      <c r="E113" s="293">
        <f t="shared" ref="E113:R113" si="3">SUM(E106:E110)</f>
        <v>7431</v>
      </c>
      <c r="F113" s="293">
        <f t="shared" si="3"/>
        <v>8709</v>
      </c>
      <c r="G113" s="293">
        <f t="shared" si="3"/>
        <v>11140</v>
      </c>
      <c r="H113" s="293"/>
      <c r="I113" s="293">
        <f t="shared" si="3"/>
        <v>13478</v>
      </c>
      <c r="J113" s="293">
        <f t="shared" si="3"/>
        <v>15375</v>
      </c>
      <c r="K113" s="293"/>
      <c r="L113" s="293">
        <f t="shared" si="3"/>
        <v>19072</v>
      </c>
      <c r="M113" s="293">
        <f t="shared" si="3"/>
        <v>16413</v>
      </c>
      <c r="N113" s="293">
        <f t="shared" si="3"/>
        <v>17438</v>
      </c>
      <c r="O113" s="293"/>
      <c r="P113" s="293">
        <f t="shared" si="3"/>
        <v>23826</v>
      </c>
      <c r="Q113" s="293">
        <f t="shared" si="3"/>
        <v>19003</v>
      </c>
      <c r="R113" s="293">
        <f t="shared" si="3"/>
        <v>18612</v>
      </c>
    </row>
    <row r="114" spans="3:18" ht="17.25" customHeight="1">
      <c r="C114" s="295" t="s">
        <v>596</v>
      </c>
      <c r="D114" s="296">
        <f>D113+49988+376</f>
        <v>51890</v>
      </c>
      <c r="E114" s="296">
        <f>E113+51201+483</f>
        <v>59115</v>
      </c>
      <c r="F114" s="296">
        <f>F113+46947+539</f>
        <v>56195</v>
      </c>
      <c r="G114" s="296">
        <f>G113+618+44370</f>
        <v>56128</v>
      </c>
      <c r="H114" s="296"/>
      <c r="I114" s="296">
        <f>I113+42884+490+2</f>
        <v>56854</v>
      </c>
      <c r="J114" s="296">
        <f>J113+679+40259+1</f>
        <v>56314</v>
      </c>
      <c r="K114" s="296"/>
      <c r="L114" s="296">
        <f>L113+37428+549+39</f>
        <v>57088</v>
      </c>
      <c r="M114" s="296">
        <f>M113+544+34770+1+28</f>
        <v>51756</v>
      </c>
      <c r="N114" s="296">
        <f>N113+486+34608</f>
        <v>52532</v>
      </c>
      <c r="O114" s="296"/>
      <c r="P114" s="296">
        <f>P113+27131+455+6+600+15+208+30+3534</f>
        <v>55805</v>
      </c>
      <c r="Q114" s="296">
        <f>Q113+372+23827+2+1310+1+20+2+183+9+2166</f>
        <v>46895</v>
      </c>
      <c r="R114" s="296">
        <f>R113+322+21331+2100+13+5+17+3+159+9+1173</f>
        <v>43744</v>
      </c>
    </row>
    <row r="118" spans="3:18">
      <c r="C118" s="2" t="s">
        <v>759</v>
      </c>
    </row>
  </sheetData>
  <mergeCells count="129">
    <mergeCell ref="D20:D21"/>
    <mergeCell ref="E20:E21"/>
    <mergeCell ref="F20:F21"/>
    <mergeCell ref="G20:G21"/>
    <mergeCell ref="H20:H21"/>
    <mergeCell ref="I20:I21"/>
    <mergeCell ref="J20:J21"/>
    <mergeCell ref="Q20:Q21"/>
    <mergeCell ref="C1:AM1"/>
    <mergeCell ref="K7:K8"/>
    <mergeCell ref="L7:L8"/>
    <mergeCell ref="M7:M8"/>
    <mergeCell ref="N7:N8"/>
    <mergeCell ref="O7:O8"/>
    <mergeCell ref="P7:P8"/>
    <mergeCell ref="Q7:Q8"/>
    <mergeCell ref="R7:R8"/>
    <mergeCell ref="C7:C8"/>
    <mergeCell ref="D7:D8"/>
    <mergeCell ref="E7:E8"/>
    <mergeCell ref="F7:F8"/>
    <mergeCell ref="G7:G8"/>
    <mergeCell ref="H7:H8"/>
    <mergeCell ref="I7:I8"/>
    <mergeCell ref="J7:J8"/>
    <mergeCell ref="R20:R21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L20:L21"/>
    <mergeCell ref="M20:M21"/>
    <mergeCell ref="N20:N21"/>
    <mergeCell ref="O20:O21"/>
    <mergeCell ref="P20:P21"/>
    <mergeCell ref="K20:K21"/>
    <mergeCell ref="C20:C21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P91:P92"/>
    <mergeCell ref="Q63:Q64"/>
    <mergeCell ref="R63:R64"/>
    <mergeCell ref="L76:L77"/>
    <mergeCell ref="M76:M77"/>
    <mergeCell ref="N76:N77"/>
    <mergeCell ref="O76:O77"/>
    <mergeCell ref="P76:P77"/>
    <mergeCell ref="N91:N92"/>
    <mergeCell ref="P48:P49"/>
    <mergeCell ref="Q48:Q49"/>
    <mergeCell ref="R48:R49"/>
    <mergeCell ref="L63:L64"/>
    <mergeCell ref="M63:M64"/>
    <mergeCell ref="N63:N64"/>
    <mergeCell ref="O63:O64"/>
    <mergeCell ref="P63:P64"/>
    <mergeCell ref="Q76:Q77"/>
    <mergeCell ref="R76:R77"/>
    <mergeCell ref="E91:E92"/>
    <mergeCell ref="L91:L92"/>
    <mergeCell ref="M91:M92"/>
    <mergeCell ref="J91:J92"/>
    <mergeCell ref="K91:K92"/>
    <mergeCell ref="L48:L49"/>
    <mergeCell ref="M48:M49"/>
    <mergeCell ref="N48:N49"/>
    <mergeCell ref="O48:O49"/>
    <mergeCell ref="O91:O92"/>
    <mergeCell ref="C76:C77"/>
    <mergeCell ref="D76:D77"/>
    <mergeCell ref="E76:E77"/>
    <mergeCell ref="F76:F77"/>
    <mergeCell ref="G76:G77"/>
    <mergeCell ref="H76:H77"/>
    <mergeCell ref="I76:I77"/>
    <mergeCell ref="J76:J77"/>
    <mergeCell ref="K76:K77"/>
    <mergeCell ref="Q104:Q105"/>
    <mergeCell ref="R104:R105"/>
    <mergeCell ref="Q91:Q92"/>
    <mergeCell ref="R91:R92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O104:O105"/>
    <mergeCell ref="P104:P105"/>
    <mergeCell ref="F91:F92"/>
    <mergeCell ref="G91:G92"/>
    <mergeCell ref="H91:H92"/>
    <mergeCell ref="I91:I92"/>
    <mergeCell ref="C91:C92"/>
    <mergeCell ref="D91:D9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B1:AM26"/>
  <sheetViews>
    <sheetView workbookViewId="0"/>
  </sheetViews>
  <sheetFormatPr defaultRowHeight="15"/>
  <cols>
    <col min="1" max="1" width="2.28515625" customWidth="1"/>
    <col min="2" max="2" width="5.7109375" customWidth="1"/>
    <col min="3" max="6" width="10.7109375" customWidth="1"/>
  </cols>
  <sheetData>
    <row r="1" spans="2:39">
      <c r="B1" s="53"/>
      <c r="C1" s="1420" t="s">
        <v>293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298</v>
      </c>
    </row>
    <row r="5" spans="2:39" ht="17.25" customHeight="1">
      <c r="C5" s="1436" t="s">
        <v>570</v>
      </c>
      <c r="D5" s="1277" t="s">
        <v>571</v>
      </c>
      <c r="E5" s="1437"/>
      <c r="F5" s="1437"/>
    </row>
    <row r="6" spans="2:39" ht="17.25" customHeight="1">
      <c r="C6" s="1134"/>
      <c r="D6" s="94" t="s">
        <v>537</v>
      </c>
      <c r="E6" s="94" t="s">
        <v>535</v>
      </c>
      <c r="F6" s="248" t="s">
        <v>536</v>
      </c>
    </row>
    <row r="7" spans="2:39" ht="17.25" customHeight="1">
      <c r="C7" s="249" t="s">
        <v>572</v>
      </c>
      <c r="D7" s="250">
        <v>109233</v>
      </c>
      <c r="E7" s="250">
        <v>56015</v>
      </c>
      <c r="F7" s="251">
        <v>53218</v>
      </c>
    </row>
    <row r="8" spans="2:39" ht="17.25" customHeight="1">
      <c r="C8" s="252" t="s">
        <v>573</v>
      </c>
      <c r="D8" s="253">
        <v>107216</v>
      </c>
      <c r="E8" s="253">
        <v>55038</v>
      </c>
      <c r="F8" s="254">
        <v>52178</v>
      </c>
    </row>
    <row r="9" spans="2:39" ht="17.25" customHeight="1">
      <c r="C9" s="249" t="s">
        <v>574</v>
      </c>
      <c r="D9" s="250">
        <v>95195</v>
      </c>
      <c r="E9" s="250">
        <v>47811</v>
      </c>
      <c r="F9" s="251">
        <v>47384</v>
      </c>
    </row>
    <row r="10" spans="2:39" ht="17.25" customHeight="1">
      <c r="C10" s="252" t="s">
        <v>575</v>
      </c>
      <c r="D10" s="253">
        <v>89789</v>
      </c>
      <c r="E10" s="253">
        <v>44683</v>
      </c>
      <c r="F10" s="254">
        <v>45106</v>
      </c>
    </row>
    <row r="11" spans="2:39" ht="17.25" customHeight="1">
      <c r="C11" s="249" t="s">
        <v>576</v>
      </c>
      <c r="D11" s="250">
        <v>76954</v>
      </c>
      <c r="E11" s="250">
        <v>37967</v>
      </c>
      <c r="F11" s="251">
        <v>38987</v>
      </c>
    </row>
    <row r="12" spans="2:39" ht="17.25" customHeight="1">
      <c r="C12" s="252" t="s">
        <v>577</v>
      </c>
      <c r="D12" s="253">
        <v>73057</v>
      </c>
      <c r="E12" s="253">
        <v>35573</v>
      </c>
      <c r="F12" s="254">
        <v>37484</v>
      </c>
    </row>
    <row r="13" spans="2:39" ht="17.25" customHeight="1">
      <c r="C13" s="249" t="s">
        <v>434</v>
      </c>
      <c r="D13" s="250">
        <v>71933</v>
      </c>
      <c r="E13" s="250">
        <v>34280</v>
      </c>
      <c r="F13" s="251">
        <v>37653</v>
      </c>
    </row>
    <row r="14" spans="2:39" ht="17.25" customHeight="1">
      <c r="C14" s="252" t="s">
        <v>435</v>
      </c>
      <c r="D14" s="253">
        <v>61717</v>
      </c>
      <c r="E14" s="253">
        <v>28738</v>
      </c>
      <c r="F14" s="254">
        <v>32979</v>
      </c>
    </row>
    <row r="15" spans="2:39" ht="17.25" customHeight="1">
      <c r="C15" s="249" t="s">
        <v>436</v>
      </c>
      <c r="D15" s="250">
        <v>56608</v>
      </c>
      <c r="E15" s="250">
        <v>25564</v>
      </c>
      <c r="F15" s="251">
        <v>31044</v>
      </c>
    </row>
    <row r="16" spans="2:39" ht="17.25" customHeight="1">
      <c r="C16" s="252" t="s">
        <v>437</v>
      </c>
      <c r="D16" s="253">
        <v>46696</v>
      </c>
      <c r="E16" s="253">
        <v>20110</v>
      </c>
      <c r="F16" s="254">
        <v>26586</v>
      </c>
    </row>
    <row r="17" spans="3:6" ht="17.25" customHeight="1">
      <c r="C17" s="249" t="s">
        <v>438</v>
      </c>
      <c r="D17" s="250">
        <v>37648</v>
      </c>
      <c r="E17" s="250">
        <v>15657</v>
      </c>
      <c r="F17" s="251">
        <v>21991</v>
      </c>
    </row>
    <row r="18" spans="3:6" ht="17.25" customHeight="1">
      <c r="C18" s="252" t="s">
        <v>578</v>
      </c>
      <c r="D18" s="253">
        <v>32526</v>
      </c>
      <c r="E18" s="253">
        <v>13358</v>
      </c>
      <c r="F18" s="254">
        <v>19168</v>
      </c>
    </row>
    <row r="24" spans="3:6">
      <c r="C24" s="2" t="s">
        <v>583</v>
      </c>
    </row>
    <row r="26" spans="3:6">
      <c r="C26" s="2" t="s">
        <v>759</v>
      </c>
    </row>
  </sheetData>
  <mergeCells count="3">
    <mergeCell ref="C5:C6"/>
    <mergeCell ref="D5:F5"/>
    <mergeCell ref="C1:AM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B1:AM42"/>
  <sheetViews>
    <sheetView workbookViewId="0"/>
  </sheetViews>
  <sheetFormatPr defaultRowHeight="15"/>
  <cols>
    <col min="1" max="1" width="2.28515625" customWidth="1"/>
    <col min="2" max="2" width="5.7109375" customWidth="1"/>
    <col min="3" max="6" width="10.7109375" customWidth="1"/>
    <col min="7" max="7" width="0.7109375" customWidth="1"/>
    <col min="8" max="10" width="10.7109375" customWidth="1"/>
    <col min="11" max="11" width="0.7109375" customWidth="1"/>
    <col min="12" max="13" width="10.7109375" customWidth="1"/>
  </cols>
  <sheetData>
    <row r="1" spans="2:39">
      <c r="B1" s="53"/>
      <c r="C1" s="1420" t="s">
        <v>293</v>
      </c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</row>
    <row r="2" spans="2:39">
      <c r="C2" s="1" t="s">
        <v>300</v>
      </c>
    </row>
    <row r="5" spans="2:39">
      <c r="C5" s="1173" t="s">
        <v>570</v>
      </c>
      <c r="D5" s="1262" t="s">
        <v>571</v>
      </c>
      <c r="E5" s="1262"/>
      <c r="F5" s="1262"/>
      <c r="G5" s="1439"/>
      <c r="H5" s="1439"/>
      <c r="I5" s="1439"/>
      <c r="J5" s="1439"/>
      <c r="K5" s="1439"/>
      <c r="L5" s="1439"/>
      <c r="M5" s="1439"/>
    </row>
    <row r="6" spans="2:39" ht="20.25" customHeight="1">
      <c r="C6" s="1438"/>
      <c r="D6" s="1440" t="s">
        <v>537</v>
      </c>
      <c r="E6" s="1442" t="s">
        <v>535</v>
      </c>
      <c r="F6" s="1444" t="s">
        <v>536</v>
      </c>
      <c r="G6" s="90"/>
      <c r="H6" s="1446" t="s">
        <v>582</v>
      </c>
      <c r="I6" s="1087"/>
      <c r="J6" s="1087"/>
      <c r="K6" s="90"/>
      <c r="L6" s="1440" t="s">
        <v>579</v>
      </c>
      <c r="M6" s="1444"/>
    </row>
    <row r="7" spans="2:39" ht="18.75" customHeight="1">
      <c r="C7" s="1438"/>
      <c r="D7" s="1441"/>
      <c r="E7" s="1443"/>
      <c r="F7" s="1445"/>
      <c r="G7" s="90"/>
      <c r="H7" s="1447"/>
      <c r="I7" s="1447"/>
      <c r="J7" s="1447"/>
      <c r="K7" s="90"/>
      <c r="L7" s="1440"/>
      <c r="M7" s="1444"/>
    </row>
    <row r="8" spans="2:39" ht="17.25" customHeight="1">
      <c r="C8" s="1438"/>
      <c r="D8" s="1441"/>
      <c r="E8" s="1443"/>
      <c r="F8" s="1445"/>
      <c r="G8" s="90"/>
      <c r="H8" s="278" t="s">
        <v>537</v>
      </c>
      <c r="I8" s="255" t="s">
        <v>535</v>
      </c>
      <c r="J8" s="256" t="s">
        <v>536</v>
      </c>
      <c r="K8" s="90"/>
      <c r="L8" s="257" t="s">
        <v>535</v>
      </c>
      <c r="M8" s="256" t="s">
        <v>536</v>
      </c>
    </row>
    <row r="9" spans="2:39" ht="17.25" customHeight="1">
      <c r="C9" s="264" t="s">
        <v>572</v>
      </c>
      <c r="D9" s="250">
        <v>109233</v>
      </c>
      <c r="E9" s="250">
        <v>56015</v>
      </c>
      <c r="F9" s="250">
        <v>53218</v>
      </c>
      <c r="G9" s="265"/>
      <c r="H9" s="266">
        <v>1</v>
      </c>
      <c r="I9" s="266">
        <v>1</v>
      </c>
      <c r="J9" s="266">
        <v>1</v>
      </c>
      <c r="K9" s="265"/>
      <c r="L9" s="266">
        <v>0.51280290754625435</v>
      </c>
      <c r="M9" s="267">
        <v>0.48719709245374565</v>
      </c>
    </row>
    <row r="10" spans="2:39" ht="17.25" customHeight="1">
      <c r="C10" s="268" t="s">
        <v>573</v>
      </c>
      <c r="D10" s="253">
        <v>107216</v>
      </c>
      <c r="E10" s="253">
        <v>55038</v>
      </c>
      <c r="F10" s="260">
        <v>52178</v>
      </c>
      <c r="G10" s="265"/>
      <c r="H10" s="261">
        <v>0.98153488414673218</v>
      </c>
      <c r="I10" s="262">
        <v>0.98255824332768005</v>
      </c>
      <c r="J10" s="263">
        <v>0.98045773986245255</v>
      </c>
      <c r="K10" s="265"/>
      <c r="L10" s="261">
        <v>0.51333756155797639</v>
      </c>
      <c r="M10" s="269">
        <v>0.48666243844202356</v>
      </c>
    </row>
    <row r="11" spans="2:39" ht="17.25" customHeight="1">
      <c r="C11" s="264" t="s">
        <v>574</v>
      </c>
      <c r="D11" s="250">
        <v>95195</v>
      </c>
      <c r="E11" s="250">
        <v>47811</v>
      </c>
      <c r="F11" s="250">
        <v>47384</v>
      </c>
      <c r="G11" s="265"/>
      <c r="H11" s="266">
        <v>0.87148572317889283</v>
      </c>
      <c r="I11" s="266">
        <v>0.85353923056324199</v>
      </c>
      <c r="J11" s="266">
        <v>0.89037543688225784</v>
      </c>
      <c r="K11" s="265"/>
      <c r="L11" s="266">
        <v>0.50224276485109509</v>
      </c>
      <c r="M11" s="267">
        <v>0.49775723514890485</v>
      </c>
    </row>
    <row r="12" spans="2:39" ht="17.25" customHeight="1">
      <c r="C12" s="268" t="s">
        <v>575</v>
      </c>
      <c r="D12" s="253">
        <v>89789</v>
      </c>
      <c r="E12" s="253">
        <v>44683</v>
      </c>
      <c r="F12" s="260">
        <v>45106</v>
      </c>
      <c r="G12" s="265"/>
      <c r="H12" s="261">
        <v>0.82199518460538479</v>
      </c>
      <c r="I12" s="262">
        <v>0.79769704543425868</v>
      </c>
      <c r="J12" s="263">
        <v>0.84757037092712995</v>
      </c>
      <c r="K12" s="265"/>
      <c r="L12" s="261">
        <v>0.49764447760861574</v>
      </c>
      <c r="M12" s="269">
        <v>0.50235552239138426</v>
      </c>
    </row>
    <row r="13" spans="2:39" ht="17.25" customHeight="1">
      <c r="C13" s="264" t="s">
        <v>576</v>
      </c>
      <c r="D13" s="250">
        <v>76954</v>
      </c>
      <c r="E13" s="250">
        <v>37967</v>
      </c>
      <c r="F13" s="250">
        <v>38987</v>
      </c>
      <c r="G13" s="265"/>
      <c r="H13" s="266">
        <v>0.70449406314941454</v>
      </c>
      <c r="I13" s="266">
        <v>0.67780058912791219</v>
      </c>
      <c r="J13" s="266">
        <v>0.73259047690630985</v>
      </c>
      <c r="K13" s="265"/>
      <c r="L13" s="266">
        <v>0.493372664188996</v>
      </c>
      <c r="M13" s="267">
        <v>0.50662733581100394</v>
      </c>
    </row>
    <row r="14" spans="2:39" ht="17.25" customHeight="1">
      <c r="C14" s="268" t="s">
        <v>577</v>
      </c>
      <c r="D14" s="253">
        <v>73057</v>
      </c>
      <c r="E14" s="253">
        <v>35573</v>
      </c>
      <c r="F14" s="260">
        <v>37484</v>
      </c>
      <c r="G14" s="265"/>
      <c r="H14" s="261">
        <v>0.66881803118105332</v>
      </c>
      <c r="I14" s="262">
        <v>0.63506203695438723</v>
      </c>
      <c r="J14" s="263">
        <v>0.70434815288060426</v>
      </c>
      <c r="K14" s="265"/>
      <c r="L14" s="261">
        <v>0.48692117114034245</v>
      </c>
      <c r="M14" s="269">
        <v>0.5130788288596575</v>
      </c>
    </row>
    <row r="15" spans="2:39" ht="17.25" customHeight="1">
      <c r="C15" s="264" t="s">
        <v>434</v>
      </c>
      <c r="D15" s="250">
        <v>71933</v>
      </c>
      <c r="E15" s="250">
        <v>34280</v>
      </c>
      <c r="F15" s="250">
        <v>37653</v>
      </c>
      <c r="G15" s="265"/>
      <c r="H15" s="266">
        <v>0.65852810048245491</v>
      </c>
      <c r="I15" s="266">
        <v>0.61197893421404981</v>
      </c>
      <c r="J15" s="266">
        <v>0.70752377015295576</v>
      </c>
      <c r="K15" s="265"/>
      <c r="L15" s="266">
        <v>0.47655457161525311</v>
      </c>
      <c r="M15" s="267">
        <v>0.52344542838474695</v>
      </c>
    </row>
    <row r="16" spans="2:39" ht="17.25" customHeight="1">
      <c r="C16" s="268" t="s">
        <v>435</v>
      </c>
      <c r="D16" s="253">
        <v>61717</v>
      </c>
      <c r="E16" s="253">
        <v>28738</v>
      </c>
      <c r="F16" s="260">
        <v>32979</v>
      </c>
      <c r="G16" s="265"/>
      <c r="H16" s="261">
        <v>0.56500324993362816</v>
      </c>
      <c r="I16" s="262">
        <v>0.51304114969204673</v>
      </c>
      <c r="J16" s="263">
        <v>0.61969634334247814</v>
      </c>
      <c r="K16" s="265"/>
      <c r="L16" s="261">
        <v>0.46564155743150187</v>
      </c>
      <c r="M16" s="269">
        <v>0.53435844256849818</v>
      </c>
    </row>
    <row r="17" spans="3:13" ht="17.25" customHeight="1">
      <c r="C17" s="264" t="s">
        <v>436</v>
      </c>
      <c r="D17" s="250">
        <v>56608</v>
      </c>
      <c r="E17" s="250">
        <v>25564</v>
      </c>
      <c r="F17" s="250">
        <v>31044</v>
      </c>
      <c r="G17" s="265"/>
      <c r="H17" s="266">
        <v>0.5182316699166003</v>
      </c>
      <c r="I17" s="266">
        <v>0.4563777559582255</v>
      </c>
      <c r="J17" s="266">
        <v>0.58333646510579129</v>
      </c>
      <c r="K17" s="265"/>
      <c r="L17" s="266">
        <v>0.45159694742792539</v>
      </c>
      <c r="M17" s="267">
        <v>0.54840305257207467</v>
      </c>
    </row>
    <row r="18" spans="3:13" ht="17.25" customHeight="1">
      <c r="C18" s="268" t="s">
        <v>437</v>
      </c>
      <c r="D18" s="253">
        <v>46696</v>
      </c>
      <c r="E18" s="253">
        <v>20110</v>
      </c>
      <c r="F18" s="260">
        <v>26586</v>
      </c>
      <c r="G18" s="265"/>
      <c r="H18" s="261">
        <v>0.42748986112255455</v>
      </c>
      <c r="I18" s="262">
        <v>0.35901097920199948</v>
      </c>
      <c r="J18" s="263">
        <v>0.49956781540080425</v>
      </c>
      <c r="K18" s="265"/>
      <c r="L18" s="261">
        <v>0.43065787219462054</v>
      </c>
      <c r="M18" s="269">
        <v>0.56934212780537952</v>
      </c>
    </row>
    <row r="19" spans="3:13" ht="17.25" customHeight="1">
      <c r="C19" s="264" t="s">
        <v>438</v>
      </c>
      <c r="D19" s="250">
        <v>37648</v>
      </c>
      <c r="E19" s="250">
        <v>15657</v>
      </c>
      <c r="F19" s="250">
        <v>21991</v>
      </c>
      <c r="G19" s="265"/>
      <c r="H19" s="266">
        <v>0.3446577499473602</v>
      </c>
      <c r="I19" s="266">
        <v>0.27951441578148711</v>
      </c>
      <c r="J19" s="266">
        <v>0.41322484873539028</v>
      </c>
      <c r="K19" s="265"/>
      <c r="L19" s="266">
        <v>0.41587866553336167</v>
      </c>
      <c r="M19" s="267">
        <v>0.58412133446663839</v>
      </c>
    </row>
    <row r="20" spans="3:13" ht="17.25" customHeight="1">
      <c r="C20" s="270" t="s">
        <v>578</v>
      </c>
      <c r="D20" s="271">
        <v>32526</v>
      </c>
      <c r="E20" s="271">
        <v>13358</v>
      </c>
      <c r="F20" s="272">
        <v>19168</v>
      </c>
      <c r="G20" s="273"/>
      <c r="H20" s="274">
        <v>0.29776715827634503</v>
      </c>
      <c r="I20" s="275">
        <v>0.23847183790056234</v>
      </c>
      <c r="J20" s="276">
        <v>0.36017888684279753</v>
      </c>
      <c r="K20" s="273"/>
      <c r="L20" s="274">
        <v>0.41068683514726678</v>
      </c>
      <c r="M20" s="277">
        <v>0.58931316485273322</v>
      </c>
    </row>
    <row r="24" spans="3:13">
      <c r="C24" s="2" t="s">
        <v>759</v>
      </c>
    </row>
    <row r="41" spans="16:16">
      <c r="P41" s="259" t="s">
        <v>580</v>
      </c>
    </row>
    <row r="42" spans="16:16">
      <c r="P42" s="259" t="s">
        <v>581</v>
      </c>
    </row>
  </sheetData>
  <mergeCells count="8">
    <mergeCell ref="C1:AM1"/>
    <mergeCell ref="C5:C8"/>
    <mergeCell ref="D5:M5"/>
    <mergeCell ref="D6:D8"/>
    <mergeCell ref="E6:E8"/>
    <mergeCell ref="F6:F8"/>
    <mergeCell ref="L6:M7"/>
    <mergeCell ref="H6:J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99</vt:i4>
      </vt:variant>
      <vt:variant>
        <vt:lpstr>Intervalos com nome</vt:lpstr>
      </vt:variant>
      <vt:variant>
        <vt:i4>2</vt:i4>
      </vt:variant>
    </vt:vector>
  </HeadingPairs>
  <TitlesOfParts>
    <vt:vector size="101" baseType="lpstr">
      <vt:lpstr>ÍNDICE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2.1.</vt:lpstr>
      <vt:lpstr>2.2.</vt:lpstr>
      <vt:lpstr>2.3.</vt:lpstr>
      <vt:lpstr>2.4.</vt:lpstr>
      <vt:lpstr>2.5.</vt:lpstr>
      <vt:lpstr>2.6.</vt:lpstr>
      <vt:lpstr>2.7.</vt:lpstr>
      <vt:lpstr>3.1.</vt:lpstr>
      <vt:lpstr>3.2.</vt:lpstr>
      <vt:lpstr>3.3.</vt:lpstr>
      <vt:lpstr>3.4.</vt:lpstr>
      <vt:lpstr>3.5.</vt:lpstr>
      <vt:lpstr>3.6.</vt:lpstr>
      <vt:lpstr>3.7.</vt:lpstr>
      <vt:lpstr>3.8.</vt:lpstr>
      <vt:lpstr>3.9.</vt:lpstr>
      <vt:lpstr>3.10.</vt:lpstr>
      <vt:lpstr>3.11.</vt:lpstr>
      <vt:lpstr>3.12.</vt:lpstr>
      <vt:lpstr>3.13.</vt:lpstr>
      <vt:lpstr>3.14.</vt:lpstr>
      <vt:lpstr>3.15.</vt:lpstr>
      <vt:lpstr>3.16.</vt:lpstr>
      <vt:lpstr>3.17.</vt:lpstr>
      <vt:lpstr>3.18.</vt:lpstr>
      <vt:lpstr>3.19.</vt:lpstr>
      <vt:lpstr>3.20.</vt:lpstr>
      <vt:lpstr>3.21.</vt:lpstr>
      <vt:lpstr>3.22.</vt:lpstr>
      <vt:lpstr>3.23.</vt:lpstr>
      <vt:lpstr>3.24.</vt:lpstr>
      <vt:lpstr>3.25.</vt:lpstr>
      <vt:lpstr>3.26.</vt:lpstr>
      <vt:lpstr>3.27.</vt:lpstr>
      <vt:lpstr>3.28.</vt:lpstr>
      <vt:lpstr>3.29.</vt:lpstr>
      <vt:lpstr>3.30.</vt:lpstr>
      <vt:lpstr>3.31.</vt:lpstr>
      <vt:lpstr>3.32.</vt:lpstr>
      <vt:lpstr>3.33.</vt:lpstr>
      <vt:lpstr>3.34.</vt:lpstr>
      <vt:lpstr>3.35.</vt:lpstr>
      <vt:lpstr>4.1.</vt:lpstr>
      <vt:lpstr>4.2.</vt:lpstr>
      <vt:lpstr>4.3.</vt:lpstr>
      <vt:lpstr>4.4.</vt:lpstr>
      <vt:lpstr>4.5.</vt:lpstr>
      <vt:lpstr>4.6.a.</vt:lpstr>
      <vt:lpstr>4.6.b.</vt:lpstr>
      <vt:lpstr>4.7.</vt:lpstr>
      <vt:lpstr>4.8.</vt:lpstr>
      <vt:lpstr>4.9.</vt:lpstr>
      <vt:lpstr>4.10.</vt:lpstr>
      <vt:lpstr>4.11.</vt:lpstr>
      <vt:lpstr>4.12.</vt:lpstr>
      <vt:lpstr>4.13.</vt:lpstr>
      <vt:lpstr>4.14.</vt:lpstr>
      <vt:lpstr>4.15.</vt:lpstr>
      <vt:lpstr>4.16.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6.1.</vt:lpstr>
      <vt:lpstr>II.1.1.</vt:lpstr>
      <vt:lpstr>II.1.2.</vt:lpstr>
      <vt:lpstr>II.1.3.</vt:lpstr>
      <vt:lpstr>II.1.4</vt:lpstr>
      <vt:lpstr>ÍNDICE!OLE_LINK1</vt:lpstr>
      <vt:lpstr>ÍNDICE!OLE_LINK3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dcterms:created xsi:type="dcterms:W3CDTF">2010-09-20T13:58:07Z</dcterms:created>
  <dcterms:modified xsi:type="dcterms:W3CDTF">2010-10-13T18:00:17Z</dcterms:modified>
</cp:coreProperties>
</file>